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codeName="ThisWorkbook"/>
  <xr:revisionPtr revIDLastSave="0" documentId="8_{76332963-7E04-4009-9860-95B559D660BC}" xr6:coauthVersionLast="47" xr6:coauthVersionMax="47" xr10:uidLastSave="{00000000-0000-0000-0000-000000000000}"/>
  <bookViews>
    <workbookView xWindow="-120" yWindow="-120" windowWidth="38640" windowHeight="15840" xr2:uid="{00000000-000D-0000-FFFF-FFFF00000000}"/>
  </bookViews>
  <sheets>
    <sheet name="voorblad" sheetId="16" r:id="rId1"/>
    <sheet name="1" sheetId="2" r:id="rId2"/>
    <sheet name="Calc 1a" sheetId="10" state="hidden" r:id="rId3"/>
    <sheet name="Calc 1b" sheetId="11" state="hidden" r:id="rId4"/>
    <sheet name="Calc 2a" sheetId="12" state="hidden" r:id="rId5"/>
    <sheet name="Calc 2b" sheetId="13" state="hidden" r:id="rId6"/>
    <sheet name="Calc 3a" sheetId="14" state="hidden" r:id="rId7"/>
    <sheet name="Calc 3b" sheetId="17" state="hidden" r:id="rId8"/>
  </sheets>
  <definedNames>
    <definedName name="_xlnm.Print_Area" localSheetId="1">'1'!$A$2:$F$177</definedName>
    <definedName name="_xlnm.Print_Titles" localSheetId="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N75" i="17"/>
  <c r="N75" i="14"/>
  <c r="N75" i="13"/>
  <c r="N75" i="12"/>
  <c r="N75" i="11"/>
  <c r="O127" i="10"/>
  <c r="O126" i="10"/>
  <c r="H1" i="10" l="1"/>
  <c r="N144" i="17"/>
  <c r="N130" i="17"/>
  <c r="N131" i="17" s="1"/>
  <c r="N127" i="17"/>
  <c r="N126" i="17"/>
  <c r="N110" i="17"/>
  <c r="N111" i="17" s="1"/>
  <c r="N98" i="17"/>
  <c r="N79" i="17"/>
  <c r="N92" i="17" s="1"/>
  <c r="N144" i="14"/>
  <c r="N130" i="14"/>
  <c r="N131" i="14" s="1"/>
  <c r="N127" i="14"/>
  <c r="N126" i="14"/>
  <c r="N110" i="14"/>
  <c r="N111" i="14" s="1"/>
  <c r="N98" i="14"/>
  <c r="N79" i="14"/>
  <c r="N92" i="14" s="1"/>
  <c r="N144" i="13"/>
  <c r="N130" i="13"/>
  <c r="N131" i="13" s="1"/>
  <c r="N127" i="13"/>
  <c r="N126" i="13"/>
  <c r="N110" i="13"/>
  <c r="N111" i="13" s="1"/>
  <c r="N98" i="13"/>
  <c r="N79" i="13"/>
  <c r="N92" i="13" s="1"/>
  <c r="N144" i="12"/>
  <c r="N130" i="12"/>
  <c r="N131" i="12" s="1"/>
  <c r="N127" i="12"/>
  <c r="N126" i="12"/>
  <c r="N110" i="12"/>
  <c r="N111" i="12" s="1"/>
  <c r="N98" i="12"/>
  <c r="N79" i="12"/>
  <c r="N92" i="12" s="1"/>
  <c r="N144" i="11"/>
  <c r="N131" i="11"/>
  <c r="N130" i="11"/>
  <c r="N127" i="11"/>
  <c r="N126" i="11"/>
  <c r="N110" i="11"/>
  <c r="N111" i="11" s="1"/>
  <c r="N98" i="11"/>
  <c r="N79" i="11"/>
  <c r="N104" i="11" s="1"/>
  <c r="N131" i="10"/>
  <c r="N110" i="10"/>
  <c r="N111" i="10" s="1"/>
  <c r="N98" i="10"/>
  <c r="M92" i="10"/>
  <c r="N75" i="10"/>
  <c r="M75" i="10"/>
  <c r="F52" i="10"/>
  <c r="F51" i="10"/>
  <c r="M110" i="17"/>
  <c r="M111" i="17" s="1"/>
  <c r="M110" i="14"/>
  <c r="M111" i="14" s="1"/>
  <c r="M110" i="13"/>
  <c r="M111" i="13" s="1"/>
  <c r="M110" i="12"/>
  <c r="M111" i="12" s="1"/>
  <c r="M110" i="11"/>
  <c r="M111" i="11" s="1"/>
  <c r="N103" i="17" l="1"/>
  <c r="N104" i="17"/>
  <c r="N107" i="17"/>
  <c r="N102" i="17"/>
  <c r="N105" i="17"/>
  <c r="N105" i="12"/>
  <c r="N102" i="12"/>
  <c r="N107" i="12"/>
  <c r="N105" i="11"/>
  <c r="N92" i="11"/>
  <c r="N102" i="11"/>
  <c r="N107" i="11"/>
  <c r="N103" i="11"/>
  <c r="N103" i="12"/>
  <c r="N104" i="12"/>
  <c r="N107" i="13"/>
  <c r="N104" i="13"/>
  <c r="N105" i="13"/>
  <c r="N102" i="14"/>
  <c r="N103" i="14"/>
  <c r="N104" i="14"/>
  <c r="N105" i="14"/>
  <c r="N107" i="14"/>
  <c r="N102" i="13"/>
  <c r="N103" i="13"/>
  <c r="M110" i="10"/>
  <c r="M111" i="10" s="1"/>
  <c r="A3" i="17" l="1"/>
  <c r="B27" i="17"/>
  <c r="I144" i="17"/>
  <c r="J144" i="17" s="1"/>
  <c r="K144" i="17" s="1"/>
  <c r="L144" i="17" s="1"/>
  <c r="O127" i="17"/>
  <c r="O126" i="17"/>
  <c r="J126" i="17"/>
  <c r="K126" i="17" s="1"/>
  <c r="L126" i="17" s="1"/>
  <c r="K117" i="17"/>
  <c r="J117" i="17"/>
  <c r="I117" i="17"/>
  <c r="H117" i="17"/>
  <c r="G117" i="17"/>
  <c r="F117" i="17"/>
  <c r="E117" i="17"/>
  <c r="D117" i="17"/>
  <c r="C117" i="17"/>
  <c r="B117" i="17"/>
  <c r="O98" i="17"/>
  <c r="D63" i="17"/>
  <c r="D62" i="17"/>
  <c r="D61" i="17"/>
  <c r="D60" i="17"/>
  <c r="B56" i="17"/>
  <c r="B55" i="17"/>
  <c r="B54" i="17"/>
  <c r="B53" i="17"/>
  <c r="B52" i="17"/>
  <c r="B50" i="17"/>
  <c r="D50" i="17" s="1"/>
  <c r="D38" i="17"/>
  <c r="C37" i="17"/>
  <c r="B34" i="17"/>
  <c r="A4" i="17"/>
  <c r="A1" i="17"/>
  <c r="C57" i="17" l="1"/>
  <c r="C15" i="17"/>
  <c r="C16" i="17" s="1"/>
  <c r="M144" i="17"/>
  <c r="O144" i="17" s="1"/>
  <c r="D54" i="17"/>
  <c r="O79" i="17"/>
  <c r="M79" i="17"/>
  <c r="M75" i="17"/>
  <c r="B10" i="17"/>
  <c r="C35" i="17" s="1"/>
  <c r="B49" i="17"/>
  <c r="C11" i="17"/>
  <c r="D53" i="17"/>
  <c r="C20" i="17"/>
  <c r="B29" i="17"/>
  <c r="D55" i="17"/>
  <c r="D79" i="17"/>
  <c r="D94" i="17" s="1"/>
  <c r="G75" i="17"/>
  <c r="H79" i="17"/>
  <c r="H107" i="17" s="1"/>
  <c r="C32" i="17"/>
  <c r="C56" i="17"/>
  <c r="H75" i="17"/>
  <c r="J79" i="17"/>
  <c r="J105" i="17" s="1"/>
  <c r="D75" i="17"/>
  <c r="F75" i="17"/>
  <c r="E79" i="17"/>
  <c r="E118" i="17" s="1"/>
  <c r="C49" i="17"/>
  <c r="D59" i="17"/>
  <c r="I75" i="17"/>
  <c r="K79" i="17"/>
  <c r="K130" i="17" s="1"/>
  <c r="L130" i="17" s="1"/>
  <c r="L75" i="17"/>
  <c r="L79" i="17"/>
  <c r="B8" i="17"/>
  <c r="B23" i="17"/>
  <c r="C53" i="17"/>
  <c r="B79" i="17"/>
  <c r="F131" i="17" s="1"/>
  <c r="B24" i="17"/>
  <c r="B43" i="17"/>
  <c r="C79" i="17"/>
  <c r="C105" i="17" s="1"/>
  <c r="B47" i="17"/>
  <c r="A143" i="17"/>
  <c r="B57" i="17" s="1"/>
  <c r="D57" i="17" s="1"/>
  <c r="C10" i="17"/>
  <c r="C47" i="17"/>
  <c r="C55" i="17"/>
  <c r="E75" i="17"/>
  <c r="I79" i="17"/>
  <c r="D93" i="17"/>
  <c r="B130" i="17"/>
  <c r="B9" i="17"/>
  <c r="B46" i="17"/>
  <c r="C19" i="17"/>
  <c r="C46" i="17"/>
  <c r="C54" i="17"/>
  <c r="B75" i="17"/>
  <c r="J75" i="17"/>
  <c r="F79" i="17"/>
  <c r="L81" i="17"/>
  <c r="D103" i="17"/>
  <c r="D105" i="17"/>
  <c r="E108" i="17"/>
  <c r="L93" i="17"/>
  <c r="B103" i="17"/>
  <c r="B19" i="17"/>
  <c r="B30" i="17"/>
  <c r="C40" i="17"/>
  <c r="D40" i="17" s="1"/>
  <c r="D56" i="17"/>
  <c r="B28" i="17"/>
  <c r="B35" i="17"/>
  <c r="B42" i="17"/>
  <c r="C75" i="17"/>
  <c r="K75" i="17"/>
  <c r="G79" i="17"/>
  <c r="E103" i="17"/>
  <c r="I5" i="2"/>
  <c r="D81" i="17" l="1"/>
  <c r="H93" i="17"/>
  <c r="B108" i="17"/>
  <c r="G130" i="17"/>
  <c r="B118" i="17"/>
  <c r="H102" i="17"/>
  <c r="L118" i="17"/>
  <c r="L116" i="17"/>
  <c r="H92" i="17"/>
  <c r="H131" i="17"/>
  <c r="L105" i="17"/>
  <c r="H80" i="17"/>
  <c r="D108" i="17"/>
  <c r="E93" i="17"/>
  <c r="M116" i="17"/>
  <c r="C42" i="17" s="1"/>
  <c r="M103" i="17"/>
  <c r="C29" i="17" s="1"/>
  <c r="M92" i="17"/>
  <c r="B22" i="17" s="1"/>
  <c r="M80" i="17"/>
  <c r="M81" i="17" s="1"/>
  <c r="M104" i="17"/>
  <c r="M107" i="17"/>
  <c r="M102" i="17"/>
  <c r="C28" i="17" s="1"/>
  <c r="M93" i="17"/>
  <c r="C24" i="17" s="1"/>
  <c r="M105" i="17"/>
  <c r="M118" i="17"/>
  <c r="B44" i="17" s="1"/>
  <c r="E81" i="17"/>
  <c r="E94" i="17"/>
  <c r="L103" i="17"/>
  <c r="K80" i="17"/>
  <c r="K116" i="17"/>
  <c r="J92" i="17"/>
  <c r="K107" i="17"/>
  <c r="K100" i="17" s="1"/>
  <c r="K131" i="17"/>
  <c r="K103" i="17"/>
  <c r="K105" i="17"/>
  <c r="K81" i="17"/>
  <c r="K104" i="17"/>
  <c r="K118" i="17"/>
  <c r="K102" i="17"/>
  <c r="K93" i="17"/>
  <c r="K92" i="17"/>
  <c r="J116" i="17"/>
  <c r="J107" i="17"/>
  <c r="J100" i="17" s="1"/>
  <c r="B92" i="17"/>
  <c r="B94" i="17" s="1"/>
  <c r="E130" i="17"/>
  <c r="B81" i="17"/>
  <c r="C81" i="17"/>
  <c r="J131" i="17"/>
  <c r="B116" i="17"/>
  <c r="C92" i="17"/>
  <c r="C94" i="17" s="1"/>
  <c r="B107" i="17"/>
  <c r="J80" i="17"/>
  <c r="B80" i="17"/>
  <c r="D131" i="17"/>
  <c r="C107" i="17"/>
  <c r="C80" i="17"/>
  <c r="J102" i="17"/>
  <c r="L131" i="17"/>
  <c r="L104" i="17"/>
  <c r="L92" i="17"/>
  <c r="L107" i="17"/>
  <c r="L100" i="17" s="1"/>
  <c r="L102" i="17"/>
  <c r="L80" i="17"/>
  <c r="H116" i="17"/>
  <c r="H103" i="17"/>
  <c r="H130" i="17"/>
  <c r="H105" i="17"/>
  <c r="H118" i="17"/>
  <c r="H81" i="17"/>
  <c r="E131" i="17"/>
  <c r="C103" i="17"/>
  <c r="C108" i="17"/>
  <c r="D130" i="17"/>
  <c r="C130" i="17"/>
  <c r="C131" i="17"/>
  <c r="C116" i="17"/>
  <c r="B102" i="17"/>
  <c r="E105" i="17"/>
  <c r="E92" i="17"/>
  <c r="E116" i="17"/>
  <c r="E80" i="17"/>
  <c r="E107" i="17"/>
  <c r="E102" i="17"/>
  <c r="B105" i="17"/>
  <c r="J118" i="17"/>
  <c r="J81" i="17"/>
  <c r="J93" i="17"/>
  <c r="G131" i="17"/>
  <c r="J104" i="17"/>
  <c r="J103" i="17"/>
  <c r="C118" i="17"/>
  <c r="B131" i="17"/>
  <c r="C102" i="17"/>
  <c r="F130" i="17"/>
  <c r="C30" i="17"/>
  <c r="D118" i="17"/>
  <c r="D116" i="17"/>
  <c r="D80" i="17"/>
  <c r="D92" i="17"/>
  <c r="D107" i="17"/>
  <c r="D102" i="17"/>
  <c r="D52" i="17"/>
  <c r="I107" i="17"/>
  <c r="I102" i="17"/>
  <c r="I92" i="17"/>
  <c r="I80" i="17"/>
  <c r="I130" i="17"/>
  <c r="J130" i="17" s="1"/>
  <c r="I118" i="17"/>
  <c r="I105" i="17"/>
  <c r="I131" i="17"/>
  <c r="I93" i="17"/>
  <c r="I116" i="17"/>
  <c r="I103" i="17"/>
  <c r="I81" i="17"/>
  <c r="F116" i="17"/>
  <c r="F92" i="17"/>
  <c r="F80" i="17"/>
  <c r="F93" i="17"/>
  <c r="F107" i="17"/>
  <c r="F102" i="17"/>
  <c r="F118" i="17"/>
  <c r="F105" i="17"/>
  <c r="F103" i="17"/>
  <c r="F81" i="17"/>
  <c r="G93" i="17"/>
  <c r="G107" i="17"/>
  <c r="G116" i="17"/>
  <c r="G102" i="17"/>
  <c r="G92" i="17"/>
  <c r="G80" i="17"/>
  <c r="G118" i="17"/>
  <c r="G105" i="17"/>
  <c r="G103" i="17"/>
  <c r="G81" i="17"/>
  <c r="M100" i="17" l="1"/>
  <c r="B32" i="17"/>
  <c r="B31" i="17"/>
  <c r="C31" i="17"/>
  <c r="C9" i="17"/>
  <c r="C8" i="17"/>
  <c r="N130" i="10"/>
  <c r="K117" i="14" l="1"/>
  <c r="E82" i="2" l="1"/>
  <c r="B89" i="2" l="1"/>
  <c r="D38" i="12"/>
  <c r="D38" i="14"/>
  <c r="D38" i="13"/>
  <c r="B37" i="2"/>
  <c r="D38" i="10"/>
  <c r="A4" i="14" l="1"/>
  <c r="M79" i="14" l="1"/>
  <c r="M75" i="14"/>
  <c r="K79" i="14"/>
  <c r="L75" i="14"/>
  <c r="K75" i="14"/>
  <c r="L79" i="14"/>
  <c r="E92" i="2"/>
  <c r="E93" i="2"/>
  <c r="L118" i="14" l="1"/>
  <c r="L116" i="14"/>
  <c r="M103" i="14"/>
  <c r="M102" i="14"/>
  <c r="M116" i="14"/>
  <c r="M93" i="14"/>
  <c r="M104" i="14"/>
  <c r="M118" i="14"/>
  <c r="M105" i="14"/>
  <c r="M107" i="14"/>
  <c r="M92" i="14"/>
  <c r="M80" i="14"/>
  <c r="M81" i="14" s="1"/>
  <c r="L131" i="14"/>
  <c r="L103" i="14"/>
  <c r="L92" i="14"/>
  <c r="L93" i="14"/>
  <c r="L104" i="14"/>
  <c r="L81" i="14"/>
  <c r="L80" i="14"/>
  <c r="L102" i="14"/>
  <c r="L105" i="14"/>
  <c r="L107" i="14"/>
  <c r="K118" i="14"/>
  <c r="K80" i="14"/>
  <c r="K105" i="14"/>
  <c r="K93" i="14"/>
  <c r="K92" i="14"/>
  <c r="K104" i="14"/>
  <c r="K81" i="14"/>
  <c r="K102" i="14"/>
  <c r="K130" i="14"/>
  <c r="L130" i="14" s="1"/>
  <c r="K131" i="14"/>
  <c r="K103" i="14"/>
  <c r="K107" i="14"/>
  <c r="K116" i="14"/>
  <c r="B34" i="14"/>
  <c r="K100" i="14" l="1"/>
  <c r="M100" i="14"/>
  <c r="L100" i="14"/>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O127" i="14" l="1"/>
  <c r="O98" i="14"/>
  <c r="O127" i="13"/>
  <c r="O98" i="13"/>
  <c r="O127" i="12"/>
  <c r="O98" i="12"/>
  <c r="O127" i="11"/>
  <c r="O98" i="11"/>
  <c r="F50" i="13" l="1"/>
  <c r="F48" i="13"/>
  <c r="F46" i="13"/>
  <c r="F44" i="13"/>
  <c r="F42" i="13"/>
  <c r="F40" i="13"/>
  <c r="F38" i="13"/>
  <c r="F36" i="13"/>
  <c r="F34" i="13"/>
  <c r="F32" i="13"/>
  <c r="F30" i="13"/>
  <c r="F28" i="13"/>
  <c r="F26" i="13"/>
  <c r="F24" i="13"/>
  <c r="F22" i="13"/>
  <c r="F20" i="13"/>
  <c r="F18" i="13"/>
  <c r="F16" i="13"/>
  <c r="F14" i="13"/>
  <c r="F12" i="13"/>
  <c r="F11" i="13"/>
  <c r="F10" i="13"/>
  <c r="F9" i="13"/>
  <c r="F8" i="13"/>
  <c r="F7" i="13"/>
  <c r="F6" i="13"/>
  <c r="H5" i="13"/>
  <c r="F5" i="13"/>
  <c r="H4" i="13"/>
  <c r="F4" i="13"/>
  <c r="H3" i="13"/>
  <c r="F3" i="13"/>
  <c r="F14" i="10"/>
  <c r="F12" i="10"/>
  <c r="F11" i="10"/>
  <c r="F10" i="10"/>
  <c r="F9" i="10"/>
  <c r="F8" i="10"/>
  <c r="F7" i="10"/>
  <c r="F6" i="10"/>
  <c r="H5" i="10"/>
  <c r="F5" i="10"/>
  <c r="H4" i="10"/>
  <c r="F4" i="10"/>
  <c r="H3" i="10"/>
  <c r="F3" i="10"/>
  <c r="I144" i="14" l="1"/>
  <c r="J144" i="14"/>
  <c r="J126" i="14"/>
  <c r="J117" i="14"/>
  <c r="I117" i="14"/>
  <c r="H117" i="14"/>
  <c r="G117" i="14"/>
  <c r="F117" i="14"/>
  <c r="E117" i="14"/>
  <c r="D117" i="14"/>
  <c r="C117" i="14"/>
  <c r="B117" i="14"/>
  <c r="I144" i="13"/>
  <c r="J144" i="13"/>
  <c r="J126" i="13"/>
  <c r="I144" i="12"/>
  <c r="J144" i="12"/>
  <c r="J126" i="12"/>
  <c r="I144" i="11"/>
  <c r="J144" i="11" s="1"/>
  <c r="J126" i="11"/>
  <c r="J126" i="10"/>
  <c r="K126" i="10" s="1"/>
  <c r="I144" i="10"/>
  <c r="J144" i="10" s="1"/>
  <c r="K144" i="10" s="1"/>
  <c r="N127" i="10"/>
  <c r="O98" i="10"/>
  <c r="C37" i="14"/>
  <c r="C37" i="13"/>
  <c r="B113" i="2"/>
  <c r="B112" i="2"/>
  <c r="B111" i="2"/>
  <c r="B110" i="2"/>
  <c r="B165" i="2"/>
  <c r="B164" i="2"/>
  <c r="B163" i="2"/>
  <c r="B162" i="2"/>
  <c r="B161" i="2"/>
  <c r="B65" i="2"/>
  <c r="B64" i="2"/>
  <c r="B63" i="2"/>
  <c r="B62" i="2"/>
  <c r="B61" i="2"/>
  <c r="B50" i="14"/>
  <c r="D50" i="14"/>
  <c r="B50" i="13"/>
  <c r="D50" i="13" s="1"/>
  <c r="B50" i="12"/>
  <c r="D50" i="12" s="1"/>
  <c r="C90" i="2" s="1"/>
  <c r="B50" i="10"/>
  <c r="E50" i="2"/>
  <c r="A3" i="11" s="1"/>
  <c r="B37" i="11"/>
  <c r="C86" i="2"/>
  <c r="E86" i="2" s="1"/>
  <c r="E34" i="2"/>
  <c r="C85" i="2"/>
  <c r="C59" i="10"/>
  <c r="C67" i="12"/>
  <c r="C67" i="10"/>
  <c r="C67" i="13"/>
  <c r="B56" i="14"/>
  <c r="B55" i="14"/>
  <c r="B54" i="14"/>
  <c r="B53" i="14"/>
  <c r="B52" i="14"/>
  <c r="A1" i="14"/>
  <c r="B42" i="14" s="1"/>
  <c r="C97" i="2"/>
  <c r="A4" i="13"/>
  <c r="A4" i="11"/>
  <c r="B66" i="13"/>
  <c r="D63" i="13"/>
  <c r="B56" i="13"/>
  <c r="B55" i="13"/>
  <c r="B54" i="13"/>
  <c r="B53" i="13"/>
  <c r="B52" i="13"/>
  <c r="A1" i="13"/>
  <c r="B47" i="13" s="1"/>
  <c r="B66" i="12"/>
  <c r="B56" i="12"/>
  <c r="B55" i="12"/>
  <c r="B54" i="12"/>
  <c r="B53" i="12"/>
  <c r="B52" i="12"/>
  <c r="D53" i="12" s="1"/>
  <c r="A4" i="12"/>
  <c r="A1" i="12"/>
  <c r="C46" i="12" s="1"/>
  <c r="D63" i="11"/>
  <c r="B56" i="11"/>
  <c r="B55" i="11"/>
  <c r="B54" i="11"/>
  <c r="B53" i="11"/>
  <c r="B52" i="11"/>
  <c r="D55" i="11" s="1"/>
  <c r="A1" i="11"/>
  <c r="A143" i="11" s="1"/>
  <c r="B57" i="11" s="1"/>
  <c r="B66" i="10"/>
  <c r="B59" i="10"/>
  <c r="B52" i="10"/>
  <c r="A4" i="10"/>
  <c r="A1" i="10"/>
  <c r="B35" i="10" s="1"/>
  <c r="B67" i="2" s="1"/>
  <c r="B56" i="10"/>
  <c r="B55" i="10"/>
  <c r="B54" i="10"/>
  <c r="B53" i="10"/>
  <c r="C11" i="2"/>
  <c r="D11" i="2" s="1"/>
  <c r="E32" i="2"/>
  <c r="E33" i="2"/>
  <c r="E46" i="2"/>
  <c r="E136" i="2" s="1"/>
  <c r="E81" i="2"/>
  <c r="D85" i="2" s="1"/>
  <c r="D87" i="2" s="1"/>
  <c r="A2" i="13" s="1"/>
  <c r="E127" i="2"/>
  <c r="E128" i="2"/>
  <c r="E151" i="2" s="1"/>
  <c r="E129" i="2"/>
  <c r="E133" i="2" s="1"/>
  <c r="E134" i="2"/>
  <c r="K144" i="11" l="1"/>
  <c r="L144" i="11" s="1"/>
  <c r="M144" i="11" s="1"/>
  <c r="O144" i="11" s="1"/>
  <c r="L144" i="10"/>
  <c r="M144" i="10" s="1"/>
  <c r="N144" i="10" s="1"/>
  <c r="O144" i="10" s="1"/>
  <c r="O126" i="12"/>
  <c r="K126" i="12"/>
  <c r="L126" i="12" s="1"/>
  <c r="K144" i="12"/>
  <c r="L144" i="12" s="1"/>
  <c r="M144" i="12" s="1"/>
  <c r="O144" i="12" s="1"/>
  <c r="O126" i="13"/>
  <c r="K126" i="13"/>
  <c r="L126" i="13" s="1"/>
  <c r="M75" i="11"/>
  <c r="M79" i="11"/>
  <c r="M79" i="13"/>
  <c r="M75" i="13"/>
  <c r="K144" i="13"/>
  <c r="L144" i="13" s="1"/>
  <c r="M144" i="13" s="1"/>
  <c r="O144" i="13" s="1"/>
  <c r="O126" i="11"/>
  <c r="K126" i="11"/>
  <c r="L126" i="11" s="1"/>
  <c r="O126" i="14"/>
  <c r="K126" i="14"/>
  <c r="L126" i="14" s="1"/>
  <c r="K144" i="14"/>
  <c r="L144" i="14" s="1"/>
  <c r="M144" i="14" s="1"/>
  <c r="O144" i="14" s="1"/>
  <c r="N126" i="10"/>
  <c r="L126" i="10"/>
  <c r="M79" i="12"/>
  <c r="M75" i="12"/>
  <c r="M79" i="10"/>
  <c r="K75" i="11"/>
  <c r="L79" i="11"/>
  <c r="K79" i="11"/>
  <c r="L75" i="11"/>
  <c r="L79" i="12"/>
  <c r="L75" i="12"/>
  <c r="K75" i="12"/>
  <c r="K79" i="12"/>
  <c r="K117" i="12" s="1"/>
  <c r="K79" i="13"/>
  <c r="K117" i="13" s="1"/>
  <c r="L75" i="13"/>
  <c r="K75" i="13"/>
  <c r="L79" i="13"/>
  <c r="L75" i="10"/>
  <c r="D55" i="10"/>
  <c r="B49" i="12"/>
  <c r="D90" i="2"/>
  <c r="D118" i="2" s="1"/>
  <c r="B50" i="11"/>
  <c r="D38" i="11"/>
  <c r="C56" i="11"/>
  <c r="D97" i="2"/>
  <c r="C49" i="10"/>
  <c r="D55" i="12"/>
  <c r="D54" i="12"/>
  <c r="B19" i="10"/>
  <c r="C53" i="10"/>
  <c r="B19" i="12"/>
  <c r="D54" i="10"/>
  <c r="C20" i="12"/>
  <c r="B9" i="14"/>
  <c r="D53" i="10"/>
  <c r="C40" i="13"/>
  <c r="B47" i="10"/>
  <c r="B30" i="10"/>
  <c r="C63" i="2" s="1"/>
  <c r="B43" i="14"/>
  <c r="B75" i="13"/>
  <c r="K75" i="10"/>
  <c r="K79" i="10"/>
  <c r="K93" i="10" s="1"/>
  <c r="E35" i="2"/>
  <c r="A2" i="10" s="1"/>
  <c r="B27" i="10" s="1"/>
  <c r="C20" i="10"/>
  <c r="C19" i="13"/>
  <c r="E75" i="10"/>
  <c r="C19" i="11"/>
  <c r="E131" i="2"/>
  <c r="C54" i="11"/>
  <c r="E85" i="2"/>
  <c r="E87" i="2" s="1"/>
  <c r="B27" i="13"/>
  <c r="D37" i="13"/>
  <c r="B24" i="13"/>
  <c r="B10" i="13"/>
  <c r="B28" i="11"/>
  <c r="C87" i="2"/>
  <c r="A2" i="12" s="1"/>
  <c r="B27" i="12" s="1"/>
  <c r="B43" i="13"/>
  <c r="D62" i="13"/>
  <c r="B23" i="13"/>
  <c r="B29" i="13"/>
  <c r="B19" i="13"/>
  <c r="C49" i="11"/>
  <c r="B10" i="11"/>
  <c r="C54" i="13"/>
  <c r="C20" i="13"/>
  <c r="C46" i="11"/>
  <c r="B23" i="11"/>
  <c r="C47" i="11"/>
  <c r="C10" i="11"/>
  <c r="B35" i="13"/>
  <c r="D61" i="13"/>
  <c r="C10" i="13"/>
  <c r="B30" i="12"/>
  <c r="B24" i="12"/>
  <c r="C10" i="12"/>
  <c r="B104" i="2" s="1"/>
  <c r="C47" i="13"/>
  <c r="C40" i="11"/>
  <c r="B30" i="11"/>
  <c r="C32" i="11"/>
  <c r="B35" i="12"/>
  <c r="B116" i="2" s="1"/>
  <c r="B27" i="14"/>
  <c r="C40" i="14"/>
  <c r="B8" i="14"/>
  <c r="B29" i="14"/>
  <c r="C162" i="2" s="1"/>
  <c r="B30" i="14"/>
  <c r="C163" i="2" s="1"/>
  <c r="D54" i="11"/>
  <c r="E75" i="13"/>
  <c r="A143" i="13"/>
  <c r="B57" i="13" s="1"/>
  <c r="D57" i="13" s="1"/>
  <c r="D62" i="11"/>
  <c r="D60" i="11"/>
  <c r="D60" i="13"/>
  <c r="C53" i="13"/>
  <c r="C56" i="13"/>
  <c r="B28" i="13"/>
  <c r="C11" i="13"/>
  <c r="B30" i="13"/>
  <c r="C15" i="13"/>
  <c r="C16" i="13" s="1"/>
  <c r="D16" i="13" s="1"/>
  <c r="C57" i="13"/>
  <c r="C55" i="11"/>
  <c r="B49" i="11"/>
  <c r="C15" i="11"/>
  <c r="C16" i="11" s="1"/>
  <c r="D16" i="11" s="1"/>
  <c r="C11" i="11"/>
  <c r="B8" i="11"/>
  <c r="B29" i="11"/>
  <c r="B19" i="11"/>
  <c r="C49" i="13"/>
  <c r="E79" i="13"/>
  <c r="B49" i="13"/>
  <c r="C46" i="13"/>
  <c r="B8" i="13"/>
  <c r="C55" i="13"/>
  <c r="B42" i="13"/>
  <c r="C32" i="13"/>
  <c r="B46" i="13"/>
  <c r="B47" i="11"/>
  <c r="B24" i="11"/>
  <c r="C20" i="11"/>
  <c r="C53" i="11"/>
  <c r="C57" i="11"/>
  <c r="B42" i="11"/>
  <c r="B46" i="11"/>
  <c r="B35" i="11"/>
  <c r="B79" i="10"/>
  <c r="B116" i="10" s="1"/>
  <c r="H75" i="10"/>
  <c r="G75" i="10"/>
  <c r="C75" i="10"/>
  <c r="D63" i="10"/>
  <c r="D60" i="10"/>
  <c r="D62" i="10"/>
  <c r="O79" i="12"/>
  <c r="I79" i="12"/>
  <c r="G79" i="12"/>
  <c r="E79" i="12"/>
  <c r="C79" i="12"/>
  <c r="J75" i="12"/>
  <c r="F75" i="12"/>
  <c r="B75" i="12"/>
  <c r="I75" i="12"/>
  <c r="E75" i="12"/>
  <c r="G75" i="12"/>
  <c r="J79" i="12"/>
  <c r="F79" i="12"/>
  <c r="B79" i="12"/>
  <c r="D75" i="12"/>
  <c r="C75" i="12"/>
  <c r="H79" i="12"/>
  <c r="H75" i="12"/>
  <c r="D60" i="12"/>
  <c r="O79" i="11"/>
  <c r="I79" i="11"/>
  <c r="G79" i="11"/>
  <c r="E79" i="11"/>
  <c r="C79" i="11"/>
  <c r="J75" i="11"/>
  <c r="F75" i="11"/>
  <c r="B75" i="11"/>
  <c r="J79" i="11"/>
  <c r="B79" i="11"/>
  <c r="G75" i="11"/>
  <c r="D79" i="11"/>
  <c r="E75" i="11"/>
  <c r="D75" i="11"/>
  <c r="F79" i="11"/>
  <c r="I75" i="11"/>
  <c r="H79" i="11"/>
  <c r="C75" i="11"/>
  <c r="D55" i="14"/>
  <c r="D53" i="14"/>
  <c r="B67" i="12"/>
  <c r="D54" i="14"/>
  <c r="D63" i="12"/>
  <c r="G1" i="10"/>
  <c r="N79" i="10"/>
  <c r="D75" i="10"/>
  <c r="I79" i="10"/>
  <c r="F75" i="10"/>
  <c r="J75" i="10"/>
  <c r="H79" i="10"/>
  <c r="G79" i="10"/>
  <c r="E79" i="10"/>
  <c r="C79" i="10"/>
  <c r="B75" i="10"/>
  <c r="D55" i="13"/>
  <c r="D53" i="13"/>
  <c r="D54" i="13"/>
  <c r="O79" i="14"/>
  <c r="I75" i="14"/>
  <c r="E75" i="14"/>
  <c r="J79" i="14"/>
  <c r="H79" i="14"/>
  <c r="F79" i="14"/>
  <c r="D79" i="14"/>
  <c r="B79" i="14"/>
  <c r="H75" i="14"/>
  <c r="D75" i="14"/>
  <c r="G75" i="14"/>
  <c r="G79" i="14"/>
  <c r="C79" i="14"/>
  <c r="F75" i="14"/>
  <c r="E79" i="14"/>
  <c r="B75" i="14"/>
  <c r="I79" i="14"/>
  <c r="J75" i="14"/>
  <c r="A143" i="14"/>
  <c r="B57" i="14" s="1"/>
  <c r="D57" i="14" s="1"/>
  <c r="C57" i="14"/>
  <c r="C53" i="14"/>
  <c r="C55" i="14"/>
  <c r="C54" i="14"/>
  <c r="C19" i="14"/>
  <c r="D148" i="2" s="1"/>
  <c r="B10" i="14"/>
  <c r="C46" i="14"/>
  <c r="B24" i="14"/>
  <c r="B49" i="14"/>
  <c r="C20" i="14"/>
  <c r="D149" i="2" s="1"/>
  <c r="B19" i="14"/>
  <c r="C47" i="14"/>
  <c r="B28" i="14"/>
  <c r="C56" i="14"/>
  <c r="D62" i="14"/>
  <c r="D63" i="14"/>
  <c r="D79" i="12"/>
  <c r="D60" i="14"/>
  <c r="D62" i="12"/>
  <c r="D53" i="11"/>
  <c r="C32" i="14"/>
  <c r="D165" i="2" s="1"/>
  <c r="C11" i="14"/>
  <c r="D145" i="2" s="1"/>
  <c r="B46" i="14"/>
  <c r="B23" i="14"/>
  <c r="F79" i="10"/>
  <c r="I75" i="10"/>
  <c r="D79" i="10"/>
  <c r="H75" i="11"/>
  <c r="C75" i="14"/>
  <c r="B47" i="14"/>
  <c r="C15" i="14"/>
  <c r="C16" i="14" s="1"/>
  <c r="C49" i="14"/>
  <c r="C10" i="14"/>
  <c r="D144" i="2" s="1"/>
  <c r="B35" i="14"/>
  <c r="B167" i="2" s="1"/>
  <c r="L79" i="10"/>
  <c r="O79" i="10"/>
  <c r="J79" i="10"/>
  <c r="B27" i="11"/>
  <c r="O79" i="13"/>
  <c r="G1" i="13"/>
  <c r="H1" i="13" s="1"/>
  <c r="B68" i="13" s="1"/>
  <c r="J79" i="13"/>
  <c r="J117" i="13" s="1"/>
  <c r="H79" i="13"/>
  <c r="H117" i="13" s="1"/>
  <c r="F79" i="13"/>
  <c r="F117" i="13" s="1"/>
  <c r="D79" i="13"/>
  <c r="D117" i="13" s="1"/>
  <c r="B79" i="13"/>
  <c r="B117" i="13" s="1"/>
  <c r="H75" i="13"/>
  <c r="D75" i="13"/>
  <c r="G75" i="13"/>
  <c r="C75" i="13"/>
  <c r="I75" i="13"/>
  <c r="G79" i="13"/>
  <c r="G117" i="13" s="1"/>
  <c r="C79" i="13"/>
  <c r="C117" i="13" s="1"/>
  <c r="F75" i="13"/>
  <c r="D67" i="13"/>
  <c r="B67" i="13" s="1"/>
  <c r="J75" i="13"/>
  <c r="I79" i="13"/>
  <c r="I117" i="13" s="1"/>
  <c r="B67" i="10"/>
  <c r="D57" i="11"/>
  <c r="D56" i="11"/>
  <c r="C47" i="12"/>
  <c r="B28" i="12"/>
  <c r="B24" i="10"/>
  <c r="C19" i="10"/>
  <c r="C40" i="10"/>
  <c r="B23" i="10"/>
  <c r="B10" i="10"/>
  <c r="B28" i="10"/>
  <c r="C40" i="12"/>
  <c r="A143" i="12"/>
  <c r="B57" i="12" s="1"/>
  <c r="D57" i="12" s="1"/>
  <c r="B23" i="12"/>
  <c r="C15" i="12"/>
  <c r="C16" i="12" s="1"/>
  <c r="D16" i="12" s="1"/>
  <c r="B47" i="12"/>
  <c r="C55" i="12"/>
  <c r="C54" i="12"/>
  <c r="B29" i="12"/>
  <c r="B42" i="12"/>
  <c r="C49" i="12"/>
  <c r="B29" i="10"/>
  <c r="C62" i="2" s="1"/>
  <c r="C56" i="10"/>
  <c r="C11" i="10"/>
  <c r="D56" i="2" s="1"/>
  <c r="B10" i="12"/>
  <c r="C57" i="10"/>
  <c r="B49" i="10"/>
  <c r="C46" i="10"/>
  <c r="C32" i="10"/>
  <c r="D65" i="2" s="1"/>
  <c r="A143" i="10"/>
  <c r="B57" i="10" s="1"/>
  <c r="C32" i="12"/>
  <c r="C56" i="12"/>
  <c r="B8" i="12"/>
  <c r="C19" i="12"/>
  <c r="B46" i="12"/>
  <c r="C57" i="12"/>
  <c r="C11" i="12"/>
  <c r="B105" i="2" s="1"/>
  <c r="B46" i="10"/>
  <c r="C15" i="10"/>
  <c r="C10" i="10"/>
  <c r="D55" i="2" s="1"/>
  <c r="B42" i="10"/>
  <c r="C53" i="12"/>
  <c r="C55" i="10"/>
  <c r="C54" i="10"/>
  <c r="B8" i="10"/>
  <c r="C47" i="10"/>
  <c r="C118" i="2"/>
  <c r="D15" i="10" l="1"/>
  <c r="C16" i="10"/>
  <c r="N107" i="10"/>
  <c r="N103" i="10"/>
  <c r="N105" i="10"/>
  <c r="N102" i="10"/>
  <c r="N92" i="10"/>
  <c r="N104" i="10"/>
  <c r="M118" i="13"/>
  <c r="M107" i="13"/>
  <c r="M103" i="13"/>
  <c r="M105" i="13"/>
  <c r="M116" i="13"/>
  <c r="M102" i="13"/>
  <c r="M93" i="13"/>
  <c r="M104" i="13"/>
  <c r="M92" i="13"/>
  <c r="M80" i="13"/>
  <c r="M81" i="13" s="1"/>
  <c r="L118" i="11"/>
  <c r="L116" i="11"/>
  <c r="L118" i="13"/>
  <c r="L116" i="13"/>
  <c r="M103" i="11"/>
  <c r="M102" i="11"/>
  <c r="M107" i="11"/>
  <c r="M105" i="11"/>
  <c r="M93" i="11"/>
  <c r="M118" i="11"/>
  <c r="M80" i="11"/>
  <c r="M81" i="11" s="1"/>
  <c r="M92" i="11"/>
  <c r="M104" i="11"/>
  <c r="M116" i="11"/>
  <c r="E93" i="13"/>
  <c r="E117" i="13"/>
  <c r="E19" i="2"/>
  <c r="M118" i="10"/>
  <c r="M116" i="10"/>
  <c r="M80" i="10"/>
  <c r="M81" i="10" s="1"/>
  <c r="M104" i="10"/>
  <c r="M103" i="10"/>
  <c r="M102" i="10"/>
  <c r="M107" i="10"/>
  <c r="M93" i="10"/>
  <c r="M105" i="10"/>
  <c r="L116" i="10"/>
  <c r="L118" i="10"/>
  <c r="L116" i="12"/>
  <c r="L118" i="12"/>
  <c r="M118" i="12"/>
  <c r="M105" i="12"/>
  <c r="M104" i="12"/>
  <c r="M92" i="12"/>
  <c r="M116" i="12"/>
  <c r="M102" i="12"/>
  <c r="M93" i="12"/>
  <c r="M107" i="12"/>
  <c r="M80" i="12"/>
  <c r="M81" i="12" s="1"/>
  <c r="M103" i="12"/>
  <c r="D89" i="2"/>
  <c r="E90" i="2"/>
  <c r="K118" i="13"/>
  <c r="K116" i="13"/>
  <c r="K80" i="13"/>
  <c r="K105" i="13"/>
  <c r="K92" i="13"/>
  <c r="K103" i="13"/>
  <c r="K107" i="13"/>
  <c r="K81" i="13"/>
  <c r="K130" i="13"/>
  <c r="L130" i="13" s="1"/>
  <c r="K131" i="13"/>
  <c r="K93" i="13"/>
  <c r="K102" i="13"/>
  <c r="K104" i="13"/>
  <c r="L93" i="10"/>
  <c r="L92" i="10"/>
  <c r="L102" i="10"/>
  <c r="L107" i="10"/>
  <c r="L103" i="10"/>
  <c r="L105" i="10"/>
  <c r="L104" i="10"/>
  <c r="L131" i="10"/>
  <c r="K118" i="11"/>
  <c r="K81" i="11"/>
  <c r="K92" i="11"/>
  <c r="K130" i="11"/>
  <c r="L130" i="11" s="1"/>
  <c r="K80" i="11"/>
  <c r="K102" i="11"/>
  <c r="K103" i="11"/>
  <c r="K93" i="11"/>
  <c r="K104" i="11"/>
  <c r="K107" i="11"/>
  <c r="K116" i="11"/>
  <c r="K117" i="11"/>
  <c r="K105" i="11"/>
  <c r="K131" i="11"/>
  <c r="K118" i="12"/>
  <c r="K80" i="12"/>
  <c r="K105" i="12"/>
  <c r="K130" i="12"/>
  <c r="L130" i="12" s="1"/>
  <c r="K103" i="12"/>
  <c r="K81" i="12"/>
  <c r="K131" i="12"/>
  <c r="K102" i="12"/>
  <c r="K92" i="12"/>
  <c r="K116" i="12"/>
  <c r="K93" i="12"/>
  <c r="K107" i="12"/>
  <c r="K104" i="12"/>
  <c r="L131" i="11"/>
  <c r="L93" i="11"/>
  <c r="L81" i="11"/>
  <c r="L104" i="11"/>
  <c r="L92" i="11"/>
  <c r="L80" i="11"/>
  <c r="L102" i="11"/>
  <c r="L107" i="11"/>
  <c r="L105" i="11"/>
  <c r="L103" i="11"/>
  <c r="A19" i="17"/>
  <c r="D19" i="17" s="1"/>
  <c r="A2" i="17"/>
  <c r="L107" i="13"/>
  <c r="L103" i="13"/>
  <c r="L131" i="13"/>
  <c r="L92" i="13"/>
  <c r="L105" i="13"/>
  <c r="L100" i="13" s="1"/>
  <c r="L93" i="13"/>
  <c r="L81" i="13"/>
  <c r="L104" i="13"/>
  <c r="L102" i="13"/>
  <c r="L80" i="13"/>
  <c r="L131" i="12"/>
  <c r="L103" i="12"/>
  <c r="L92" i="12"/>
  <c r="L104" i="12"/>
  <c r="L102" i="12"/>
  <c r="L107" i="12"/>
  <c r="L80" i="12"/>
  <c r="L105" i="12"/>
  <c r="L93" i="12"/>
  <c r="L81" i="12"/>
  <c r="D29" i="17"/>
  <c r="D30" i="17"/>
  <c r="D31" i="17"/>
  <c r="D28" i="17"/>
  <c r="L81" i="10"/>
  <c r="L80" i="10"/>
  <c r="D46" i="11"/>
  <c r="E118" i="2"/>
  <c r="A19" i="13"/>
  <c r="D19" i="13" s="1"/>
  <c r="C148" i="2"/>
  <c r="E148" i="2" s="1"/>
  <c r="C149" i="2"/>
  <c r="E149" i="2" s="1"/>
  <c r="A2" i="11"/>
  <c r="D49" i="11" s="1"/>
  <c r="D50" i="11" s="1"/>
  <c r="A19" i="12"/>
  <c r="D19" i="12" s="1"/>
  <c r="A19" i="10"/>
  <c r="D19" i="10" s="1"/>
  <c r="E97" i="2"/>
  <c r="A19" i="11"/>
  <c r="D19" i="11" s="1"/>
  <c r="A2" i="14"/>
  <c r="C131" i="10"/>
  <c r="D59" i="13"/>
  <c r="B9" i="13"/>
  <c r="B9" i="12"/>
  <c r="K118" i="10"/>
  <c r="K107" i="10"/>
  <c r="K102" i="10"/>
  <c r="K81" i="10"/>
  <c r="K116" i="10"/>
  <c r="K117" i="10"/>
  <c r="K131" i="10"/>
  <c r="K130" i="10"/>
  <c r="L130" i="10" s="1"/>
  <c r="K104" i="10"/>
  <c r="K92" i="10"/>
  <c r="K80" i="10"/>
  <c r="K103" i="10"/>
  <c r="K105" i="10"/>
  <c r="D49" i="12"/>
  <c r="D61" i="10"/>
  <c r="D59" i="10" s="1"/>
  <c r="E40" i="2" s="1"/>
  <c r="D49" i="10"/>
  <c r="D50" i="10" s="1"/>
  <c r="E38" i="2" s="1"/>
  <c r="E69" i="2" s="1"/>
  <c r="D47" i="11"/>
  <c r="G131" i="10"/>
  <c r="B9" i="11"/>
  <c r="D10" i="11" s="1"/>
  <c r="B9" i="10"/>
  <c r="F130" i="10"/>
  <c r="D11" i="11"/>
  <c r="D49" i="13"/>
  <c r="D15" i="11"/>
  <c r="D14" i="11" s="1"/>
  <c r="D15" i="12"/>
  <c r="D14" i="12" s="1"/>
  <c r="D15" i="13"/>
  <c r="D14" i="13" s="1"/>
  <c r="A19" i="14"/>
  <c r="D19" i="14" s="1"/>
  <c r="D61" i="14"/>
  <c r="D59" i="14" s="1"/>
  <c r="B40" i="13"/>
  <c r="D40" i="13" s="1"/>
  <c r="D91" i="2" s="1"/>
  <c r="D56" i="13"/>
  <c r="D52" i="13" s="1"/>
  <c r="E94" i="13"/>
  <c r="D61" i="12"/>
  <c r="D59" i="12" s="1"/>
  <c r="E108" i="13"/>
  <c r="E92" i="13"/>
  <c r="E107" i="13"/>
  <c r="E116" i="13"/>
  <c r="B130" i="10"/>
  <c r="B103" i="10"/>
  <c r="B118" i="10"/>
  <c r="D40" i="14"/>
  <c r="E81" i="13"/>
  <c r="B107" i="10"/>
  <c r="C130" i="10"/>
  <c r="E105" i="13"/>
  <c r="E118" i="13"/>
  <c r="E80" i="13"/>
  <c r="D52" i="11"/>
  <c r="E103" i="13"/>
  <c r="E102" i="13"/>
  <c r="G130" i="10"/>
  <c r="B92" i="10"/>
  <c r="B94" i="10" s="1"/>
  <c r="B81" i="10"/>
  <c r="D61" i="11"/>
  <c r="D59" i="11" s="1"/>
  <c r="B117" i="10"/>
  <c r="E130" i="10"/>
  <c r="B108" i="10"/>
  <c r="F131" i="10"/>
  <c r="B105" i="10"/>
  <c r="D131" i="10"/>
  <c r="B131" i="10"/>
  <c r="B80" i="10"/>
  <c r="B102" i="10"/>
  <c r="D130" i="10"/>
  <c r="E131" i="10"/>
  <c r="D65" i="13"/>
  <c r="D119" i="2" s="1"/>
  <c r="D116" i="13"/>
  <c r="D107" i="13"/>
  <c r="D105" i="13"/>
  <c r="D81" i="13"/>
  <c r="D108" i="13"/>
  <c r="D103" i="13"/>
  <c r="D93" i="13"/>
  <c r="D80" i="13"/>
  <c r="D102" i="13"/>
  <c r="D118" i="13"/>
  <c r="D94" i="13"/>
  <c r="D92" i="13"/>
  <c r="F117" i="10"/>
  <c r="F93" i="10"/>
  <c r="F80" i="10"/>
  <c r="F103" i="10"/>
  <c r="F102" i="10"/>
  <c r="F116" i="10"/>
  <c r="F105" i="10"/>
  <c r="F118" i="10"/>
  <c r="F107" i="10"/>
  <c r="F81" i="10"/>
  <c r="F92" i="10"/>
  <c r="D107" i="12"/>
  <c r="D94" i="12"/>
  <c r="D92" i="12"/>
  <c r="D103" i="12"/>
  <c r="D116" i="12"/>
  <c r="D93" i="12"/>
  <c r="D118" i="12"/>
  <c r="D105" i="12"/>
  <c r="D81" i="12"/>
  <c r="D102" i="12"/>
  <c r="D117" i="12"/>
  <c r="D80" i="12"/>
  <c r="D108" i="12"/>
  <c r="G81" i="14"/>
  <c r="G118" i="14"/>
  <c r="G102" i="14"/>
  <c r="G92" i="14"/>
  <c r="G93" i="14"/>
  <c r="G80" i="14"/>
  <c r="G107" i="14"/>
  <c r="G103" i="14"/>
  <c r="G116" i="14"/>
  <c r="G105" i="14"/>
  <c r="B131" i="14"/>
  <c r="B102" i="14"/>
  <c r="B80" i="14"/>
  <c r="B103" i="14"/>
  <c r="B116" i="14"/>
  <c r="B130" i="14"/>
  <c r="D130" i="14"/>
  <c r="E130" i="14"/>
  <c r="C130" i="14"/>
  <c r="B108" i="14"/>
  <c r="F130" i="14"/>
  <c r="B81" i="14"/>
  <c r="G131" i="14"/>
  <c r="B92" i="14"/>
  <c r="B94" i="14" s="1"/>
  <c r="G130" i="14"/>
  <c r="C131" i="14"/>
  <c r="B105" i="14"/>
  <c r="E131" i="14"/>
  <c r="D131" i="14"/>
  <c r="B118" i="14"/>
  <c r="B107" i="14"/>
  <c r="F131" i="14"/>
  <c r="J102" i="14"/>
  <c r="J92" i="14"/>
  <c r="J104" i="14"/>
  <c r="J107" i="14"/>
  <c r="J103" i="14"/>
  <c r="J93" i="14"/>
  <c r="J81" i="14"/>
  <c r="J116" i="14"/>
  <c r="J105" i="14"/>
  <c r="J118" i="14"/>
  <c r="J80" i="14"/>
  <c r="J131" i="14"/>
  <c r="H131" i="10"/>
  <c r="H103" i="10"/>
  <c r="H130" i="10"/>
  <c r="H92" i="10"/>
  <c r="H80" i="10"/>
  <c r="H107" i="10"/>
  <c r="H93" i="10"/>
  <c r="H118" i="10"/>
  <c r="H105" i="10"/>
  <c r="H81" i="10"/>
  <c r="H116" i="10"/>
  <c r="H117" i="10"/>
  <c r="H102" i="10"/>
  <c r="I117" i="10"/>
  <c r="I116" i="10"/>
  <c r="I80" i="10"/>
  <c r="I130" i="10"/>
  <c r="J130" i="10" s="1"/>
  <c r="I118" i="10"/>
  <c r="I102" i="10"/>
  <c r="I81" i="10"/>
  <c r="I92" i="10"/>
  <c r="I93" i="10"/>
  <c r="I131" i="10"/>
  <c r="I107" i="10"/>
  <c r="I105" i="10"/>
  <c r="I103" i="10"/>
  <c r="G93" i="11"/>
  <c r="G80" i="11"/>
  <c r="G92" i="11"/>
  <c r="G81" i="11"/>
  <c r="G103" i="11"/>
  <c r="G107" i="11"/>
  <c r="G105" i="11"/>
  <c r="G118" i="11"/>
  <c r="G102" i="11"/>
  <c r="G117" i="11"/>
  <c r="G116" i="11"/>
  <c r="D116" i="14"/>
  <c r="D105" i="14"/>
  <c r="D118" i="14"/>
  <c r="D108" i="14"/>
  <c r="D107" i="14"/>
  <c r="D81" i="14"/>
  <c r="D103" i="14"/>
  <c r="D93" i="14"/>
  <c r="D80" i="14"/>
  <c r="D102" i="14"/>
  <c r="D94" i="14"/>
  <c r="D92" i="14"/>
  <c r="F131" i="11"/>
  <c r="B131" i="11"/>
  <c r="B117" i="11"/>
  <c r="D131" i="11"/>
  <c r="B80" i="11"/>
  <c r="C130" i="11"/>
  <c r="C131" i="11"/>
  <c r="B103" i="11"/>
  <c r="F130" i="11"/>
  <c r="D130" i="11"/>
  <c r="B107" i="11"/>
  <c r="B102" i="11"/>
  <c r="G130" i="11"/>
  <c r="E130" i="11"/>
  <c r="G131" i="11"/>
  <c r="B108" i="11"/>
  <c r="B118" i="11"/>
  <c r="B81" i="11"/>
  <c r="B130" i="11"/>
  <c r="B92" i="11"/>
  <c r="B94" i="11" s="1"/>
  <c r="E131" i="11"/>
  <c r="B116" i="11"/>
  <c r="B105" i="11"/>
  <c r="I93" i="11"/>
  <c r="I81" i="11"/>
  <c r="I107" i="11"/>
  <c r="I116" i="11"/>
  <c r="I118" i="11"/>
  <c r="I117" i="11"/>
  <c r="I103" i="11"/>
  <c r="I92" i="11"/>
  <c r="I130" i="11"/>
  <c r="J130" i="11" s="1"/>
  <c r="I102" i="11"/>
  <c r="I131" i="11"/>
  <c r="I105" i="11"/>
  <c r="I80" i="11"/>
  <c r="G103" i="12"/>
  <c r="G93" i="12"/>
  <c r="G116" i="12"/>
  <c r="G105" i="12"/>
  <c r="G81" i="12"/>
  <c r="G92" i="12"/>
  <c r="G117" i="12"/>
  <c r="G118" i="12"/>
  <c r="G80" i="12"/>
  <c r="G107" i="12"/>
  <c r="G102" i="12"/>
  <c r="C92" i="13"/>
  <c r="C94" i="13" s="1"/>
  <c r="C105" i="13"/>
  <c r="C108" i="13"/>
  <c r="C116" i="13"/>
  <c r="C107" i="13"/>
  <c r="C80" i="13"/>
  <c r="C81" i="13"/>
  <c r="C103" i="13"/>
  <c r="C118" i="13"/>
  <c r="C102" i="13"/>
  <c r="F117" i="11"/>
  <c r="F107" i="11"/>
  <c r="F102" i="11"/>
  <c r="F92" i="11"/>
  <c r="F81" i="11"/>
  <c r="F105" i="11"/>
  <c r="F103" i="11"/>
  <c r="F118" i="11"/>
  <c r="F80" i="11"/>
  <c r="F93" i="11"/>
  <c r="F116" i="11"/>
  <c r="J117" i="12"/>
  <c r="J107" i="12"/>
  <c r="J131" i="12"/>
  <c r="J80" i="12"/>
  <c r="J105" i="12"/>
  <c r="J93" i="12"/>
  <c r="J118" i="12"/>
  <c r="J104" i="12"/>
  <c r="J92" i="12"/>
  <c r="J116" i="12"/>
  <c r="J102" i="12"/>
  <c r="J81" i="12"/>
  <c r="J103" i="12"/>
  <c r="E117" i="12"/>
  <c r="E102" i="12"/>
  <c r="E93" i="12"/>
  <c r="E107" i="12"/>
  <c r="E81" i="12"/>
  <c r="E105" i="12"/>
  <c r="E108" i="12"/>
  <c r="E116" i="12"/>
  <c r="E94" i="12"/>
  <c r="E80" i="12"/>
  <c r="E92" i="12"/>
  <c r="E118" i="12"/>
  <c r="E103" i="12"/>
  <c r="G92" i="13"/>
  <c r="G118" i="13"/>
  <c r="G102" i="13"/>
  <c r="G80" i="13"/>
  <c r="G105" i="13"/>
  <c r="G116" i="13"/>
  <c r="G107" i="13"/>
  <c r="G81" i="13"/>
  <c r="G103" i="13"/>
  <c r="G93" i="13"/>
  <c r="F107" i="13"/>
  <c r="F102" i="13"/>
  <c r="F80" i="13"/>
  <c r="F118" i="13"/>
  <c r="F105" i="13"/>
  <c r="F93" i="13"/>
  <c r="F81" i="13"/>
  <c r="F103" i="13"/>
  <c r="F92" i="13"/>
  <c r="F116" i="13"/>
  <c r="E93" i="14"/>
  <c r="E102" i="14"/>
  <c r="E92" i="14"/>
  <c r="E105" i="14"/>
  <c r="E94" i="14"/>
  <c r="E116" i="14"/>
  <c r="E108" i="14"/>
  <c r="E80" i="14"/>
  <c r="E103" i="14"/>
  <c r="E81" i="14"/>
  <c r="E118" i="14"/>
  <c r="E107" i="14"/>
  <c r="C118" i="10"/>
  <c r="C102" i="10"/>
  <c r="C80" i="10"/>
  <c r="C107" i="10"/>
  <c r="C108" i="10"/>
  <c r="C92" i="10"/>
  <c r="C94" i="10" s="1"/>
  <c r="C81" i="10"/>
  <c r="C103" i="10"/>
  <c r="C116" i="10"/>
  <c r="C117" i="10"/>
  <c r="C105" i="10"/>
  <c r="D56" i="12"/>
  <c r="D52" i="12" s="1"/>
  <c r="H116" i="13"/>
  <c r="H118" i="13"/>
  <c r="H103" i="13"/>
  <c r="H131" i="13"/>
  <c r="H130" i="13"/>
  <c r="H92" i="13"/>
  <c r="H81" i="13"/>
  <c r="H93" i="13"/>
  <c r="H105" i="13"/>
  <c r="H80" i="13"/>
  <c r="H102" i="13"/>
  <c r="H107" i="13"/>
  <c r="D92" i="10"/>
  <c r="D81" i="10"/>
  <c r="D118" i="10"/>
  <c r="D102" i="10"/>
  <c r="D93" i="10"/>
  <c r="D107" i="10"/>
  <c r="D105" i="10"/>
  <c r="D103" i="10"/>
  <c r="D108" i="10"/>
  <c r="D117" i="10"/>
  <c r="D116" i="10"/>
  <c r="D80" i="10"/>
  <c r="D94" i="10"/>
  <c r="F107" i="14"/>
  <c r="F81" i="14"/>
  <c r="F105" i="14"/>
  <c r="F93" i="14"/>
  <c r="F116" i="14"/>
  <c r="F80" i="14"/>
  <c r="F102" i="14"/>
  <c r="F103" i="14"/>
  <c r="F118" i="14"/>
  <c r="F92" i="14"/>
  <c r="E117" i="10"/>
  <c r="E118" i="10"/>
  <c r="E93" i="10"/>
  <c r="E94" i="10"/>
  <c r="E108" i="10"/>
  <c r="E116" i="10"/>
  <c r="E81" i="10"/>
  <c r="E102" i="10"/>
  <c r="E103" i="10"/>
  <c r="E92" i="10"/>
  <c r="E107" i="10"/>
  <c r="E80" i="10"/>
  <c r="E105" i="10"/>
  <c r="H105" i="11"/>
  <c r="H118" i="11"/>
  <c r="H103" i="11"/>
  <c r="H131" i="11"/>
  <c r="H107" i="11"/>
  <c r="H130" i="11"/>
  <c r="H116" i="11"/>
  <c r="H81" i="11"/>
  <c r="H93" i="11"/>
  <c r="H117" i="11"/>
  <c r="H80" i="11"/>
  <c r="H102" i="11"/>
  <c r="H92" i="11"/>
  <c r="J107" i="11"/>
  <c r="J131" i="11"/>
  <c r="J102" i="11"/>
  <c r="J118" i="11"/>
  <c r="J117" i="11"/>
  <c r="J116" i="11"/>
  <c r="J92" i="11"/>
  <c r="J81" i="11"/>
  <c r="J105" i="11"/>
  <c r="J80" i="11"/>
  <c r="J93" i="11"/>
  <c r="J104" i="11"/>
  <c r="J103" i="11"/>
  <c r="C92" i="11"/>
  <c r="C94" i="11" s="1"/>
  <c r="C107" i="11"/>
  <c r="C81" i="11"/>
  <c r="C105" i="11"/>
  <c r="C108" i="11"/>
  <c r="C117" i="11"/>
  <c r="C118" i="11"/>
  <c r="C102" i="11"/>
  <c r="C116" i="11"/>
  <c r="C80" i="11"/>
  <c r="C103" i="11"/>
  <c r="E131" i="12"/>
  <c r="C130" i="12"/>
  <c r="B117" i="12"/>
  <c r="B107" i="12"/>
  <c r="B131" i="12"/>
  <c r="B80" i="12"/>
  <c r="G130" i="12"/>
  <c r="D130" i="12"/>
  <c r="B102" i="12"/>
  <c r="C131" i="12"/>
  <c r="B116" i="12"/>
  <c r="B130" i="12"/>
  <c r="D131" i="12"/>
  <c r="B81" i="12"/>
  <c r="B92" i="12"/>
  <c r="B94" i="12" s="1"/>
  <c r="B103" i="12"/>
  <c r="G131" i="12"/>
  <c r="F131" i="12"/>
  <c r="B108" i="12"/>
  <c r="B118" i="12"/>
  <c r="E130" i="12"/>
  <c r="B105" i="12"/>
  <c r="F130" i="12"/>
  <c r="I117" i="12"/>
  <c r="I107" i="12"/>
  <c r="I93" i="12"/>
  <c r="I102" i="12"/>
  <c r="I118" i="12"/>
  <c r="I92" i="12"/>
  <c r="I103" i="12"/>
  <c r="I130" i="12"/>
  <c r="J130" i="12" s="1"/>
  <c r="I131" i="12"/>
  <c r="I105" i="12"/>
  <c r="I116" i="12"/>
  <c r="I80" i="12"/>
  <c r="I81" i="12"/>
  <c r="D56" i="14"/>
  <c r="D52" i="14" s="1"/>
  <c r="I93" i="13"/>
  <c r="I131" i="13"/>
  <c r="I105" i="13"/>
  <c r="I81" i="13"/>
  <c r="I102" i="13"/>
  <c r="I116" i="13"/>
  <c r="I130" i="13"/>
  <c r="J130" i="13" s="1"/>
  <c r="I92" i="13"/>
  <c r="I107" i="13"/>
  <c r="I118" i="13"/>
  <c r="I103" i="13"/>
  <c r="I80" i="13"/>
  <c r="F131" i="13"/>
  <c r="B92" i="13"/>
  <c r="B94" i="13" s="1"/>
  <c r="B131" i="13"/>
  <c r="B107" i="13"/>
  <c r="B102" i="13"/>
  <c r="D131" i="13"/>
  <c r="B81" i="13"/>
  <c r="E130" i="13"/>
  <c r="G131" i="13"/>
  <c r="B103" i="13"/>
  <c r="B108" i="13"/>
  <c r="B118" i="13"/>
  <c r="D130" i="13"/>
  <c r="C130" i="13"/>
  <c r="B116" i="13"/>
  <c r="B130" i="13"/>
  <c r="F130" i="13"/>
  <c r="B80" i="13"/>
  <c r="C131" i="13"/>
  <c r="B105" i="13"/>
  <c r="G130" i="13"/>
  <c r="E131" i="13"/>
  <c r="J104" i="13"/>
  <c r="J118" i="13"/>
  <c r="J92" i="13"/>
  <c r="J105" i="13"/>
  <c r="J131" i="13"/>
  <c r="J107" i="13"/>
  <c r="J102" i="13"/>
  <c r="J93" i="13"/>
  <c r="J81" i="13"/>
  <c r="J103" i="13"/>
  <c r="J80" i="13"/>
  <c r="J116" i="13"/>
  <c r="J118" i="10"/>
  <c r="J117" i="10"/>
  <c r="J131" i="10"/>
  <c r="J80" i="10"/>
  <c r="J107" i="10"/>
  <c r="J102" i="10"/>
  <c r="J103" i="10"/>
  <c r="J116" i="10"/>
  <c r="J92" i="10"/>
  <c r="J93" i="10"/>
  <c r="J104" i="10"/>
  <c r="J81" i="10"/>
  <c r="J105" i="10"/>
  <c r="C161" i="2"/>
  <c r="I93" i="14"/>
  <c r="I103" i="14"/>
  <c r="I116" i="14"/>
  <c r="I131" i="14"/>
  <c r="I107" i="14"/>
  <c r="I81" i="14"/>
  <c r="I130" i="14"/>
  <c r="J130" i="14" s="1"/>
  <c r="I92" i="14"/>
  <c r="I105" i="14"/>
  <c r="I102" i="14"/>
  <c r="I118" i="14"/>
  <c r="I80" i="14"/>
  <c r="C80" i="14"/>
  <c r="C81" i="14"/>
  <c r="C105" i="14"/>
  <c r="C108" i="14"/>
  <c r="C107" i="14"/>
  <c r="C103" i="14"/>
  <c r="C116" i="14"/>
  <c r="C92" i="14"/>
  <c r="C94" i="14" s="1"/>
  <c r="C102" i="14"/>
  <c r="C118" i="14"/>
  <c r="H118" i="14"/>
  <c r="H92" i="14"/>
  <c r="H81" i="14"/>
  <c r="H130" i="14"/>
  <c r="H93" i="14"/>
  <c r="H80" i="14"/>
  <c r="H103" i="14"/>
  <c r="H131" i="14"/>
  <c r="H105" i="14"/>
  <c r="H102" i="14"/>
  <c r="H116" i="14"/>
  <c r="H107" i="14"/>
  <c r="G92" i="10"/>
  <c r="G117" i="10"/>
  <c r="G118" i="10"/>
  <c r="G102" i="10"/>
  <c r="G93" i="10"/>
  <c r="G105" i="10"/>
  <c r="G81" i="10"/>
  <c r="G103" i="10"/>
  <c r="G116" i="10"/>
  <c r="G80" i="10"/>
  <c r="G107" i="10"/>
  <c r="D108" i="11"/>
  <c r="D103" i="11"/>
  <c r="D105" i="11"/>
  <c r="D116" i="11"/>
  <c r="D118" i="11"/>
  <c r="D117" i="11"/>
  <c r="D81" i="11"/>
  <c r="D94" i="11"/>
  <c r="D93" i="11"/>
  <c r="D80" i="11"/>
  <c r="D102" i="11"/>
  <c r="D107" i="11"/>
  <c r="D92" i="11"/>
  <c r="E93" i="11"/>
  <c r="E117" i="11"/>
  <c r="E81" i="11"/>
  <c r="E103" i="11"/>
  <c r="E92" i="11"/>
  <c r="E94" i="11"/>
  <c r="E102" i="11"/>
  <c r="E108" i="11"/>
  <c r="E107" i="11"/>
  <c r="E116" i="11"/>
  <c r="E105" i="11"/>
  <c r="E80" i="11"/>
  <c r="E118" i="11"/>
  <c r="H131" i="12"/>
  <c r="H117" i="12"/>
  <c r="H116" i="12"/>
  <c r="H80" i="12"/>
  <c r="H130" i="12"/>
  <c r="H102" i="12"/>
  <c r="H81" i="12"/>
  <c r="H93" i="12"/>
  <c r="H103" i="12"/>
  <c r="H107" i="12"/>
  <c r="H92" i="12"/>
  <c r="H118" i="12"/>
  <c r="H105" i="12"/>
  <c r="F117" i="12"/>
  <c r="F102" i="12"/>
  <c r="F92" i="12"/>
  <c r="F93" i="12"/>
  <c r="F80" i="12"/>
  <c r="F103" i="12"/>
  <c r="F105" i="12"/>
  <c r="F116" i="12"/>
  <c r="F118" i="12"/>
  <c r="F107" i="12"/>
  <c r="F81" i="12"/>
  <c r="C80" i="12"/>
  <c r="C103" i="12"/>
  <c r="C92" i="12"/>
  <c r="C94" i="12" s="1"/>
  <c r="C81" i="12"/>
  <c r="C118" i="12"/>
  <c r="C117" i="12"/>
  <c r="C116" i="12"/>
  <c r="C105" i="12"/>
  <c r="C102" i="12"/>
  <c r="C108" i="12"/>
  <c r="C107" i="12"/>
  <c r="D16" i="10"/>
  <c r="D57" i="10"/>
  <c r="D56" i="10"/>
  <c r="C61" i="2"/>
  <c r="D37" i="14" l="1"/>
  <c r="B14" i="14"/>
  <c r="D15" i="14" s="1"/>
  <c r="M100" i="13"/>
  <c r="M100" i="11"/>
  <c r="L100" i="12"/>
  <c r="M100" i="12"/>
  <c r="B68" i="12"/>
  <c r="D65" i="12" s="1"/>
  <c r="C119" i="2" s="1"/>
  <c r="E119" i="2" s="1"/>
  <c r="B68" i="10"/>
  <c r="D65" i="10" s="1"/>
  <c r="E70" i="2" s="1"/>
  <c r="L100" i="10"/>
  <c r="K100" i="12"/>
  <c r="M100" i="10"/>
  <c r="B14" i="17"/>
  <c r="D16" i="17" s="1"/>
  <c r="B34" i="13"/>
  <c r="B22" i="13"/>
  <c r="L100" i="11"/>
  <c r="D32" i="17"/>
  <c r="K100" i="13"/>
  <c r="K100" i="11"/>
  <c r="D37" i="17"/>
  <c r="D49" i="17"/>
  <c r="C30" i="11"/>
  <c r="D30" i="11" s="1"/>
  <c r="B44" i="12"/>
  <c r="D94" i="2"/>
  <c r="C31" i="13"/>
  <c r="D49" i="14"/>
  <c r="C29" i="14"/>
  <c r="C8" i="14"/>
  <c r="D142" i="2" s="1"/>
  <c r="B22" i="14"/>
  <c r="C28" i="14"/>
  <c r="C42" i="14"/>
  <c r="C31" i="11"/>
  <c r="C9" i="13"/>
  <c r="C96" i="2"/>
  <c r="D96" i="2" s="1"/>
  <c r="C31" i="10"/>
  <c r="D64" i="2" s="1"/>
  <c r="B22" i="10"/>
  <c r="B44" i="11"/>
  <c r="C30" i="13"/>
  <c r="D30" i="13" s="1"/>
  <c r="D112" i="2" s="1"/>
  <c r="K100" i="10"/>
  <c r="C37" i="11"/>
  <c r="D37" i="11" s="1"/>
  <c r="C30" i="10"/>
  <c r="D63" i="2" s="1"/>
  <c r="B43" i="10"/>
  <c r="C29" i="12"/>
  <c r="D29" i="12" s="1"/>
  <c r="C111" i="2" s="1"/>
  <c r="C28" i="10"/>
  <c r="D61" i="2" s="1"/>
  <c r="C28" i="12"/>
  <c r="D28" i="12" s="1"/>
  <c r="C110" i="2" s="1"/>
  <c r="C24" i="13"/>
  <c r="C24" i="10"/>
  <c r="C28" i="11"/>
  <c r="D28" i="11" s="1"/>
  <c r="C31" i="14"/>
  <c r="D164" i="2" s="1"/>
  <c r="C30" i="12"/>
  <c r="D30" i="12" s="1"/>
  <c r="C112" i="2" s="1"/>
  <c r="C42" i="13"/>
  <c r="C28" i="13"/>
  <c r="D28" i="13" s="1"/>
  <c r="D110" i="2" s="1"/>
  <c r="C29" i="13"/>
  <c r="D29" i="13" s="1"/>
  <c r="D111" i="2" s="1"/>
  <c r="C29" i="11"/>
  <c r="D29" i="11" s="1"/>
  <c r="B43" i="11"/>
  <c r="D42" i="11" s="1"/>
  <c r="C9" i="14"/>
  <c r="D143" i="2" s="1"/>
  <c r="C30" i="14"/>
  <c r="D30" i="14" s="1"/>
  <c r="E163" i="2" s="1"/>
  <c r="B44" i="10"/>
  <c r="C9" i="10"/>
  <c r="C42" i="10"/>
  <c r="C8" i="10"/>
  <c r="D54" i="2" s="1"/>
  <c r="C37" i="12"/>
  <c r="D37" i="12" s="1"/>
  <c r="C37" i="10"/>
  <c r="D37" i="10" s="1"/>
  <c r="C29" i="10"/>
  <c r="D62" i="2" s="1"/>
  <c r="C31" i="12"/>
  <c r="C9" i="11"/>
  <c r="D9" i="11" s="1"/>
  <c r="C42" i="12"/>
  <c r="C24" i="12"/>
  <c r="C8" i="13"/>
  <c r="C24" i="11"/>
  <c r="B22" i="11"/>
  <c r="B22" i="12"/>
  <c r="B43" i="12"/>
  <c r="B44" i="14"/>
  <c r="C24" i="14"/>
  <c r="B44" i="13"/>
  <c r="C8" i="11"/>
  <c r="D8" i="11" s="1"/>
  <c r="C42" i="11"/>
  <c r="C9" i="12"/>
  <c r="C8" i="12"/>
  <c r="B103" i="2" s="1"/>
  <c r="J100" i="14"/>
  <c r="B32" i="14"/>
  <c r="C165" i="2" s="1"/>
  <c r="J100" i="13"/>
  <c r="B32" i="13"/>
  <c r="E147" i="2"/>
  <c r="J100" i="12"/>
  <c r="B32" i="12"/>
  <c r="J100" i="10"/>
  <c r="B32" i="10"/>
  <c r="C65" i="2" s="1"/>
  <c r="J100" i="11"/>
  <c r="B32" i="11"/>
  <c r="D14" i="10"/>
  <c r="D52" i="10"/>
  <c r="E45" i="2" s="1"/>
  <c r="E47" i="2" s="1"/>
  <c r="D15" i="17" l="1"/>
  <c r="D14" i="17" s="1"/>
  <c r="E37" i="2"/>
  <c r="C89" i="2"/>
  <c r="B40" i="11"/>
  <c r="D40" i="11" s="1"/>
  <c r="B34" i="11" s="1"/>
  <c r="C35" i="11" s="1"/>
  <c r="D35" i="11" s="1"/>
  <c r="D44" i="11"/>
  <c r="D29" i="14"/>
  <c r="E162" i="2" s="1"/>
  <c r="D162" i="2"/>
  <c r="E112" i="2"/>
  <c r="D161" i="2"/>
  <c r="D28" i="14"/>
  <c r="E161" i="2" s="1"/>
  <c r="B31" i="14"/>
  <c r="C164" i="2" s="1"/>
  <c r="D29" i="10"/>
  <c r="E62" i="2" s="1"/>
  <c r="B31" i="13"/>
  <c r="D31" i="13" s="1"/>
  <c r="D113" i="2" s="1"/>
  <c r="D98" i="2"/>
  <c r="D100" i="2" s="1"/>
  <c r="D103" i="2" s="1"/>
  <c r="E96" i="2"/>
  <c r="C98" i="2"/>
  <c r="D28" i="10"/>
  <c r="E61" i="2" s="1"/>
  <c r="B40" i="12"/>
  <c r="D40" i="12" s="1"/>
  <c r="C91" i="2" s="1"/>
  <c r="E91" i="2" s="1"/>
  <c r="D30" i="10"/>
  <c r="E63" i="2" s="1"/>
  <c r="B31" i="11"/>
  <c r="D31" i="11" s="1"/>
  <c r="D32" i="11" s="1"/>
  <c r="B31" i="10"/>
  <c r="C64" i="2" s="1"/>
  <c r="E111" i="2"/>
  <c r="B31" i="12"/>
  <c r="D31" i="12" s="1"/>
  <c r="E110" i="2"/>
  <c r="B40" i="10"/>
  <c r="D40" i="10" s="1"/>
  <c r="E39" i="2" s="1"/>
  <c r="D163" i="2"/>
  <c r="D12" i="11"/>
  <c r="E135" i="2"/>
  <c r="D16" i="14"/>
  <c r="E43" i="2" l="1"/>
  <c r="B34" i="10"/>
  <c r="B34" i="12"/>
  <c r="D24" i="11"/>
  <c r="E72" i="2" s="1"/>
  <c r="D31" i="14"/>
  <c r="E164" i="2" s="1"/>
  <c r="E139" i="2"/>
  <c r="C144" i="2" s="1"/>
  <c r="E144" i="2" s="1"/>
  <c r="D31" i="10"/>
  <c r="E64" i="2" s="1"/>
  <c r="C94" i="2"/>
  <c r="E94" i="2" s="1"/>
  <c r="E98" i="2"/>
  <c r="E89" i="2"/>
  <c r="D32" i="13"/>
  <c r="D114" i="2" s="1"/>
  <c r="E49" i="2"/>
  <c r="A3" i="13"/>
  <c r="C35" i="13" s="1"/>
  <c r="D105" i="2"/>
  <c r="D104" i="2"/>
  <c r="C113" i="2"/>
  <c r="E113" i="2" s="1"/>
  <c r="D32" i="12"/>
  <c r="C109" i="2" s="1"/>
  <c r="D14" i="14"/>
  <c r="E155" i="2" s="1"/>
  <c r="E51" i="2" l="1"/>
  <c r="C56" i="2"/>
  <c r="C54" i="2"/>
  <c r="E54" i="2" s="1"/>
  <c r="C55" i="2"/>
  <c r="E55" i="2" s="1"/>
  <c r="E156" i="2"/>
  <c r="E169" i="2" s="1"/>
  <c r="E170" i="2" s="1"/>
  <c r="C143" i="2"/>
  <c r="E143" i="2" s="1"/>
  <c r="A3" i="14"/>
  <c r="D9" i="14" s="1"/>
  <c r="C145" i="2"/>
  <c r="E145" i="2" s="1"/>
  <c r="D1" i="11"/>
  <c r="C142" i="2"/>
  <c r="E142" i="2" s="1"/>
  <c r="D32" i="14"/>
  <c r="E160" i="2" s="1"/>
  <c r="D32" i="10"/>
  <c r="E60" i="2" s="1"/>
  <c r="E100" i="2"/>
  <c r="C100" i="2"/>
  <c r="C103" i="2" s="1"/>
  <c r="E103" i="2" s="1"/>
  <c r="D109" i="2"/>
  <c r="E109" i="2" s="1"/>
  <c r="E56" i="2"/>
  <c r="A3" i="10"/>
  <c r="D9" i="13"/>
  <c r="D46" i="13"/>
  <c r="D35" i="13"/>
  <c r="D116" i="2" s="1"/>
  <c r="D11" i="13"/>
  <c r="D47" i="13"/>
  <c r="D8" i="13"/>
  <c r="D10" i="13"/>
  <c r="D42" i="13"/>
  <c r="D44" i="13" s="1"/>
  <c r="C114" i="2"/>
  <c r="E114" i="2" s="1"/>
  <c r="D46" i="14" l="1"/>
  <c r="D47" i="14"/>
  <c r="D42" i="14"/>
  <c r="D44" i="14" s="1"/>
  <c r="D11" i="14"/>
  <c r="D8" i="14"/>
  <c r="D10" i="14"/>
  <c r="D11" i="10"/>
  <c r="C35" i="10"/>
  <c r="D35" i="10" s="1"/>
  <c r="E67" i="2" s="1"/>
  <c r="C35" i="14"/>
  <c r="D35" i="14" s="1"/>
  <c r="E167" i="2" s="1"/>
  <c r="E65" i="2"/>
  <c r="D11" i="17"/>
  <c r="D35" i="17"/>
  <c r="D8" i="17"/>
  <c r="D42" i="17"/>
  <c r="D44" i="17" s="1"/>
  <c r="D47" i="17"/>
  <c r="D10" i="17"/>
  <c r="D9" i="17"/>
  <c r="D46" i="17"/>
  <c r="A3" i="12"/>
  <c r="E165" i="2"/>
  <c r="C105" i="2"/>
  <c r="E105" i="2" s="1"/>
  <c r="C104" i="2"/>
  <c r="E104" i="2" s="1"/>
  <c r="D46" i="10"/>
  <c r="D42" i="10"/>
  <c r="D44" i="10" s="1"/>
  <c r="D47" i="10"/>
  <c r="D9" i="10"/>
  <c r="D10" i="10"/>
  <c r="D8" i="10"/>
  <c r="D12" i="13"/>
  <c r="D12" i="14" l="1"/>
  <c r="E141" i="2" s="1"/>
  <c r="E153" i="2" s="1"/>
  <c r="D8" i="12"/>
  <c r="C35" i="12"/>
  <c r="D35" i="12" s="1"/>
  <c r="C116" i="2" s="1"/>
  <c r="E116" i="2" s="1"/>
  <c r="D10" i="12"/>
  <c r="D46" i="12"/>
  <c r="D9" i="12"/>
  <c r="D47" i="12"/>
  <c r="D42" i="12"/>
  <c r="D44" i="12" s="1"/>
  <c r="D11" i="12"/>
  <c r="D12" i="17"/>
  <c r="D12" i="10"/>
  <c r="E53" i="2" s="1"/>
  <c r="D24" i="13"/>
  <c r="D107" i="2" s="1"/>
  <c r="D102" i="2"/>
  <c r="D24" i="14" l="1"/>
  <c r="E159" i="2" s="1"/>
  <c r="E158" i="2"/>
  <c r="D12" i="12"/>
  <c r="C102" i="2" s="1"/>
  <c r="D24" i="17"/>
  <c r="D1" i="17" s="1"/>
  <c r="D24" i="10"/>
  <c r="E58" i="2" s="1"/>
  <c r="E74" i="2" s="1"/>
  <c r="D22" i="2" s="1"/>
  <c r="D121" i="2"/>
  <c r="D1" i="13"/>
  <c r="D1" i="14" l="1"/>
  <c r="D24" i="12"/>
  <c r="C107" i="2" s="1"/>
  <c r="E107" i="2" s="1"/>
  <c r="E172" i="2"/>
  <c r="E174" i="2" s="1"/>
  <c r="D24" i="2" s="1"/>
  <c r="E76" i="2"/>
  <c r="E22" i="2" s="1"/>
  <c r="D1" i="10"/>
  <c r="E102" i="2"/>
  <c r="C121" i="2" l="1"/>
  <c r="E121" i="2" s="1"/>
  <c r="E123" i="2" s="1"/>
  <c r="E23" i="2" s="1"/>
  <c r="D1" i="12"/>
  <c r="E176" i="2"/>
  <c r="E24" i="2" s="1"/>
  <c r="D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6" authorId="0" shapeId="0" xr:uid="{00000000-0006-0000-0100-000001000000}">
      <text>
        <r>
          <rPr>
            <b/>
            <sz val="8"/>
            <color indexed="63"/>
            <rFont val="Tahoma"/>
            <family val="2"/>
          </rPr>
          <t xml:space="preserve">Voor de eenmanszaak of Vof is dit de winst uit de jaarrekening. 
Bij een BV is dit het totaal van de winst voor belastingen plus het DGA- salaris. </t>
        </r>
      </text>
    </comment>
    <comment ref="G7" authorId="0" shapeId="0" xr:uid="{00000000-0006-0000-0100-000002000000}">
      <text>
        <r>
          <rPr>
            <b/>
            <sz val="8"/>
            <color indexed="63"/>
            <rFont val="Tahoma"/>
            <family val="2"/>
          </rPr>
          <t>Gebruik het bedrag uit de jaarrekening of uit de belastingaangifte.</t>
        </r>
      </text>
    </comment>
    <comment ref="G9" authorId="0" shapeId="0" xr:uid="{00000000-0006-0000-0100-000003000000}">
      <text>
        <r>
          <rPr>
            <b/>
            <sz val="8"/>
            <color indexed="63"/>
            <rFont val="Tahoma"/>
            <family val="2"/>
          </rPr>
          <t>Zie de belastingaangifte of de opgave van de bank.</t>
        </r>
      </text>
    </comment>
    <comment ref="G12" authorId="0" shapeId="0" xr:uid="{00000000-0006-0000-0100-000004000000}">
      <text>
        <r>
          <rPr>
            <b/>
            <sz val="8"/>
            <color indexed="63"/>
            <rFont val="Tahoma"/>
            <family val="2"/>
          </rPr>
          <t>Vul het salaris van de DGA in óf het salaris dat de DGA wilt gaan verdienen als de BV is opgericht. Houd rekening met het gebruikelijk loon van € 48.000,- (2022).z</t>
        </r>
      </text>
    </comment>
    <comment ref="G27" authorId="0" shapeId="0" xr:uid="{00000000-0006-0000-0100-000005000000}">
      <text>
        <r>
          <rPr>
            <b/>
            <sz val="8"/>
            <color indexed="63"/>
            <rFont val="Tahoma"/>
            <family val="2"/>
          </rPr>
          <t>Vink aan als de ondernemer voldoet aan het urencriterium.</t>
        </r>
      </text>
    </comment>
    <comment ref="G29" authorId="0" shapeId="0" xr:uid="{00000000-0006-0000-0100-000006000000}">
      <text>
        <r>
          <rPr>
            <b/>
            <sz val="8"/>
            <color indexed="63"/>
            <rFont val="Tahoma"/>
            <family val="2"/>
          </rPr>
          <t>Aantal uren dat de echtgenoot in de onderneming werkt.</t>
        </r>
      </text>
    </comment>
    <comment ref="G30" authorId="0" shapeId="0" xr:uid="{00000000-0006-0000-0100-000007000000}">
      <text>
        <r>
          <rPr>
            <b/>
            <sz val="8"/>
            <color indexed="63"/>
            <rFont val="Tahoma"/>
            <family val="2"/>
          </rPr>
          <t>De aan de echtgenoot toegekende arbeidsbeloning.</t>
        </r>
      </text>
    </comment>
    <comment ref="G69" authorId="0" shapeId="0" xr:uid="{CCCF374E-3B91-4199-83C1-C6D2E7AA34E0}">
      <text>
        <r>
          <rPr>
            <b/>
            <sz val="8"/>
            <color indexed="63"/>
            <rFont val="Tahoma"/>
            <family val="2"/>
          </rPr>
          <t>De toekomstige belastingheffing</t>
        </r>
      </text>
    </comment>
    <comment ref="G70" authorId="0" shapeId="0" xr:uid="{00000000-0006-0000-0100-000009000000}">
      <text>
        <r>
          <rPr>
            <b/>
            <sz val="8"/>
            <color indexed="63"/>
            <rFont val="Tahoma"/>
            <family val="2"/>
          </rPr>
          <t>De waarde van de uitgestelde belasting in euro's van nu (rekening houdend met rente).</t>
        </r>
      </text>
    </comment>
    <comment ref="G118" authorId="0" shapeId="0" xr:uid="{9C95ED5C-C9FB-4956-8FD5-FAE850748171}">
      <text>
        <r>
          <rPr>
            <b/>
            <sz val="8"/>
            <color indexed="63"/>
            <rFont val="Tahoma"/>
            <family val="2"/>
          </rPr>
          <t>De toekomstige belastingheffing</t>
        </r>
      </text>
    </comment>
    <comment ref="G119" authorId="0" shapeId="0" xr:uid="{00000000-0006-0000-0100-00000B000000}">
      <text>
        <r>
          <rPr>
            <b/>
            <sz val="8"/>
            <color indexed="63"/>
            <rFont val="Tahoma"/>
            <family val="2"/>
          </rPr>
          <t>De waarde van de uitgestelde belasting in euro's van nu (rekening houdend met rente).</t>
        </r>
      </text>
    </comment>
    <comment ref="G169" authorId="0" shapeId="0" xr:uid="{00000000-0006-0000-0100-00000C000000}">
      <text>
        <r>
          <rPr>
            <b/>
            <sz val="8"/>
            <color indexed="63"/>
            <rFont val="Tahoma"/>
            <family val="2"/>
          </rPr>
          <t>De toekomstige belastingheffing</t>
        </r>
      </text>
    </comment>
    <comment ref="G170" authorId="0" shapeId="0" xr:uid="{00000000-0006-0000-0100-00000D000000}">
      <text>
        <r>
          <rPr>
            <b/>
            <sz val="8"/>
            <color indexed="63"/>
            <rFont val="Tahoma"/>
            <family val="2"/>
          </rPr>
          <t>De waarde van de uitgestelde belasting in euro's van nu (rekening houdend met rente).</t>
        </r>
      </text>
    </comment>
  </commentList>
</comments>
</file>

<file path=xl/sharedStrings.xml><?xml version="1.0" encoding="utf-8"?>
<sst xmlns="http://schemas.openxmlformats.org/spreadsheetml/2006/main" count="719" uniqueCount="135">
  <si>
    <t>WOZ-waarde eigen woning</t>
  </si>
  <si>
    <t>Hypotheekrenteaftrek</t>
  </si>
  <si>
    <t>Bijtelling auto</t>
  </si>
  <si>
    <t>Leeftijd</t>
  </si>
  <si>
    <t>Pensioenleeftijd</t>
  </si>
  <si>
    <t>Rente</t>
  </si>
  <si>
    <t>Eigenwoningforfait</t>
  </si>
  <si>
    <t>Percentage</t>
  </si>
  <si>
    <t>Vennootschapsbelasting</t>
  </si>
  <si>
    <t>Zelfstandigenaftrek</t>
  </si>
  <si>
    <t>Startersaftrek</t>
  </si>
  <si>
    <t>FOR</t>
  </si>
  <si>
    <t>MKB-winstvrijstelling</t>
  </si>
  <si>
    <t>Totaal</t>
  </si>
  <si>
    <t>Belastingdruk</t>
  </si>
  <si>
    <t>Uitgestelde belastingdruk</t>
  </si>
  <si>
    <t>Totale belastingpercentage</t>
  </si>
  <si>
    <t>Winst uit onderneming</t>
  </si>
  <si>
    <t>Totaal aftrekposten onderneming</t>
  </si>
  <si>
    <t>Meewerkaftrek</t>
  </si>
  <si>
    <t>percentage</t>
  </si>
  <si>
    <t>Aftrek reële arbeidsbeloning</t>
  </si>
  <si>
    <t>Belastbaar inkomen</t>
  </si>
  <si>
    <t>Inkomsten uit eigen woning</t>
  </si>
  <si>
    <t>Contante waarde uitgestelde belastingdruk</t>
  </si>
  <si>
    <t>Inkomen uit onderneming</t>
  </si>
  <si>
    <t>Inkomstenbelasting</t>
  </si>
  <si>
    <t>Belastingdruk pensioen</t>
  </si>
  <si>
    <t>Directe belastingdruk en kosten</t>
  </si>
  <si>
    <t>Belasting aanmerkelijk belang</t>
  </si>
  <si>
    <t>Directe belastingdruk</t>
  </si>
  <si>
    <t>i</t>
  </si>
  <si>
    <t>Contante waarde belastingdruk</t>
  </si>
  <si>
    <t>Belastingdruk meewerkende echtgenoot</t>
  </si>
  <si>
    <t>Belastbaar inkomen echtgenoot</t>
  </si>
  <si>
    <t>Belastingdruk echtgenoot</t>
  </si>
  <si>
    <t>Eenmanszaak</t>
  </si>
  <si>
    <t>totale belastingdruk</t>
  </si>
  <si>
    <t>vennoot 2</t>
  </si>
  <si>
    <t>vennoot 1</t>
  </si>
  <si>
    <t>Samenwerkingsverband</t>
  </si>
  <si>
    <t>Arbeidskorting</t>
  </si>
  <si>
    <t>belastbaar inkomen</t>
  </si>
  <si>
    <t>Algemene Heffingskorting</t>
  </si>
  <si>
    <t>jaar</t>
  </si>
  <si>
    <t>geboortedatum</t>
  </si>
  <si>
    <t>inkomstenbelasting</t>
  </si>
  <si>
    <t>a</t>
  </si>
  <si>
    <t>tot</t>
  </si>
  <si>
    <t>tarief</t>
  </si>
  <si>
    <t>Te betalen IB/PVV</t>
  </si>
  <si>
    <t>schijf 1</t>
  </si>
  <si>
    <t>schijf 2</t>
  </si>
  <si>
    <t>schijf 3</t>
  </si>
  <si>
    <t>schijf 4</t>
  </si>
  <si>
    <t>Box 2</t>
  </si>
  <si>
    <t>algemene heffingskorting</t>
  </si>
  <si>
    <t>maximaal</t>
  </si>
  <si>
    <t>minimaal</t>
  </si>
  <si>
    <t>afbouw vanaf schijf 1</t>
  </si>
  <si>
    <t>arbeidskorting</t>
  </si>
  <si>
    <t>Max/Min</t>
  </si>
  <si>
    <t>Correctie eigen woning</t>
  </si>
  <si>
    <t>zelfstandigenaftrek</t>
  </si>
  <si>
    <t>startersaftrek</t>
  </si>
  <si>
    <t>Mkb-winstvrijstelling</t>
  </si>
  <si>
    <t>Combinatiekorting</t>
  </si>
  <si>
    <t>minimum</t>
  </si>
  <si>
    <t>maximum</t>
  </si>
  <si>
    <t>ZVW-laag</t>
  </si>
  <si>
    <t>ZVW-hoog</t>
  </si>
  <si>
    <t>Oudedagsreserve</t>
  </si>
  <si>
    <t>schijf 5</t>
  </si>
  <si>
    <t>Contante waarde op pensioenleeftijd</t>
  </si>
  <si>
    <t>rente</t>
  </si>
  <si>
    <t>leeftijd nu</t>
  </si>
  <si>
    <t>pensioenleeftijd</t>
  </si>
  <si>
    <t>Tabellen</t>
  </si>
  <si>
    <t>schijf</t>
  </si>
  <si>
    <t>AOW</t>
  </si>
  <si>
    <t>op 1 januari</t>
  </si>
  <si>
    <t>tarief 1</t>
  </si>
  <si>
    <t>tarief 2</t>
  </si>
  <si>
    <t>tarief 3</t>
  </si>
  <si>
    <t>tarief 4</t>
  </si>
  <si>
    <t>Tariefgrens</t>
  </si>
  <si>
    <t>laag tarief</t>
  </si>
  <si>
    <t>hoog tarief</t>
  </si>
  <si>
    <t>max alg heffingskorting</t>
  </si>
  <si>
    <t>Afbouwpercentage</t>
  </si>
  <si>
    <t>min alg heffingskorting</t>
  </si>
  <si>
    <t>Max</t>
  </si>
  <si>
    <t>Min</t>
  </si>
  <si>
    <t>opbouwpercentage</t>
  </si>
  <si>
    <t>ZVW-premie</t>
  </si>
  <si>
    <t>percentage hoog</t>
  </si>
  <si>
    <t>percentage laag</t>
  </si>
  <si>
    <t>Maximum bijdrageloon</t>
  </si>
  <si>
    <t>Maximum</t>
  </si>
  <si>
    <t>Startersaftrek Arbeisongeschiktheid</t>
  </si>
  <si>
    <t>Villagrens</t>
  </si>
  <si>
    <t>winst</t>
  </si>
  <si>
    <t>Percentage Hillen</t>
  </si>
  <si>
    <t>Welke rechtsvorm is fiscaal het voordeligst?</t>
  </si>
  <si>
    <t>Aannames</t>
  </si>
  <si>
    <t>samenvatting van de resultaten</t>
  </si>
  <si>
    <t>Geboortedatum</t>
  </si>
  <si>
    <t>Belastingjaar</t>
  </si>
  <si>
    <t>Resultaten eenmanszaak</t>
  </si>
  <si>
    <t>Geboortedatum echtgenoot</t>
  </si>
  <si>
    <t>Meewerkuren echtgenoot</t>
  </si>
  <si>
    <t>Reële arbeidsbeloning echtgenoot</t>
  </si>
  <si>
    <t>Percentage vennoot 1</t>
  </si>
  <si>
    <t>Percentage vennoot 2</t>
  </si>
  <si>
    <t>Geboortedatum vennoot 2</t>
  </si>
  <si>
    <t>Resultaten samenwerkingsverband</t>
  </si>
  <si>
    <t>Recente wijzigingen</t>
  </si>
  <si>
    <t>Gegevens</t>
  </si>
  <si>
    <t>In aftrek beperkte posten</t>
  </si>
  <si>
    <t>Correctie ivm aftrekbeperking</t>
  </si>
  <si>
    <t>Ruimte voor aantekeningen</t>
  </si>
  <si>
    <r>
      <t xml:space="preserve">Overige aftrekposten </t>
    </r>
    <r>
      <rPr>
        <sz val="9"/>
        <color rgb="FF717171"/>
        <rFont val="Calibri"/>
        <family val="2"/>
      </rPr>
      <t>(zelf invullen)</t>
    </r>
  </si>
  <si>
    <r>
      <t xml:space="preserve">Overige aftrekposten </t>
    </r>
    <r>
      <rPr>
        <i/>
        <sz val="9"/>
        <color rgb="FF717171"/>
        <rFont val="Calibri"/>
        <family val="2"/>
      </rPr>
      <t>(zelf invullen)</t>
    </r>
  </si>
  <si>
    <r>
      <t xml:space="preserve">Overige in tarief beperkte aftrekposten </t>
    </r>
    <r>
      <rPr>
        <i/>
        <sz val="9"/>
        <color rgb="FF717171"/>
        <rFont val="Calibri"/>
        <family val="2"/>
      </rPr>
      <t>(zelf invullen)</t>
    </r>
  </si>
  <si>
    <r>
      <t xml:space="preserve">Overige in tarief beperkte aftrekposten </t>
    </r>
    <r>
      <rPr>
        <sz val="9"/>
        <color rgb="FF717171"/>
        <rFont val="Calibri"/>
        <family val="2"/>
      </rPr>
      <t>(zelf invullen)</t>
    </r>
  </si>
  <si>
    <r>
      <t>Overige in tarief beperkte aftrekposten</t>
    </r>
    <r>
      <rPr>
        <i/>
        <sz val="9"/>
        <color rgb="FF717171"/>
        <rFont val="Calibri"/>
        <family val="2"/>
      </rPr>
      <t xml:space="preserve"> 
(zelf een negatief bedrag invullen)</t>
    </r>
  </si>
  <si>
    <r>
      <t>Overige aftrekposten</t>
    </r>
    <r>
      <rPr>
        <i/>
        <sz val="9"/>
        <color rgb="FF717171"/>
        <rFont val="Calibri"/>
        <family val="2"/>
      </rPr>
      <t xml:space="preserve"> 
(zelf een negatief bedrag invullen)</t>
    </r>
  </si>
  <si>
    <r>
      <t xml:space="preserve">Salaris echtgenoot </t>
    </r>
    <r>
      <rPr>
        <sz val="9"/>
        <color rgb="FF717171"/>
        <rFont val="Calibri"/>
        <family val="2"/>
      </rPr>
      <t>(zelf invullen)</t>
    </r>
  </si>
  <si>
    <t>Salaris dga</t>
  </si>
  <si>
    <t>Kosten bv</t>
  </si>
  <si>
    <t>Bv</t>
  </si>
  <si>
    <t>Resultaten bv</t>
  </si>
  <si>
    <t>Winst bv</t>
  </si>
  <si>
    <t>FOR (geen dotatie meer vanaf 2023)</t>
  </si>
  <si>
    <t>Cijfers 2025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</si>
</sst>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 #,##0_ ;_ &quot;€&quot;\ * \-#,##0_ ;_ &quot;€&quot;\ * &quot;-&quot;_ ;_ @_ "/>
    <numFmt numFmtId="41" formatCode="_ * #,##0_ ;_ * \-#,##0_ ;_ * &quot;-&quot;_ ;_ @_ "/>
    <numFmt numFmtId="44" formatCode="_ &quot;€&quot;\ * #,##0.00_ ;_ &quot;€&quot;\ * \-#,##0.00_ ;_ &quot;€&quot;\ * &quot;-&quot;??_ ;_ @_ "/>
    <numFmt numFmtId="164" formatCode="&quot;€&quot;\ #,##0"/>
    <numFmt numFmtId="165" formatCode="[$€-2]\ #,##0.00"/>
    <numFmt numFmtId="166" formatCode="0.0%"/>
    <numFmt numFmtId="167" formatCode="0.000%"/>
    <numFmt numFmtId="168" formatCode="&quot;€&quot;\ #,##0.00"/>
    <numFmt numFmtId="169" formatCode="[$-413]d\ mmmm\ yyyy;@"/>
    <numFmt numFmtId="170" formatCode="[$€-413]\ #,##0;[$€-413]\ \-#,##0"/>
    <numFmt numFmtId="171" formatCode="[$€-413]\ #,##0"/>
    <numFmt numFmtId="172" formatCode="0.0000"/>
    <numFmt numFmtId="173" formatCode="_-* #,##0.00\ [$€-1]_-;\-* #,##0.00\ [$€-1]_-;_-* &quot;-&quot;??\ [$€-1]_-"/>
    <numFmt numFmtId="174" formatCode="_-&quot;€&quot;* #,##0.00_-;\-&quot;€&quot;* #,##0.00_-;_-&quot;€&quot;* &quot;-&quot;??_-;_-@_-"/>
    <numFmt numFmtId="175" formatCode="_ * #,##0.0000_ ;_ * \-#,##0.0000_ ;_ * &quot;-&quot;_ ;_ @_ "/>
  </numFmts>
  <fonts count="51" x14ac:knownFonts="1">
    <font>
      <sz val="9"/>
      <color indexed="8"/>
      <name val="Tahoma"/>
      <family val="2"/>
    </font>
    <font>
      <sz val="11"/>
      <color indexed="8"/>
      <name val="Calibri"/>
      <family val="2"/>
    </font>
    <font>
      <u/>
      <sz val="10"/>
      <color indexed="36"/>
      <name val="Arial"/>
      <family val="2"/>
    </font>
    <font>
      <sz val="9"/>
      <name val="tahoma"/>
      <family val="2"/>
    </font>
    <font>
      <b/>
      <sz val="10"/>
      <color indexed="14"/>
      <name val="Wingdings 3"/>
      <family val="1"/>
      <charset val="2"/>
    </font>
    <font>
      <sz val="9"/>
      <color indexed="8"/>
      <name val="Tahoma"/>
      <family val="2"/>
    </font>
    <font>
      <sz val="11"/>
      <color theme="1"/>
      <name val="Calibri"/>
      <family val="2"/>
      <scheme val="minor"/>
    </font>
    <font>
      <sz val="11"/>
      <color rgb="FF006100"/>
      <name val="Calibri"/>
      <family val="2"/>
      <scheme val="minor"/>
    </font>
    <font>
      <sz val="11"/>
      <color rgb="FF9C6500"/>
      <name val="Calibri"/>
      <family val="2"/>
      <scheme val="minor"/>
    </font>
    <font>
      <sz val="9"/>
      <color theme="1"/>
      <name val="tahoma"/>
      <family val="2"/>
    </font>
    <font>
      <b/>
      <sz val="9"/>
      <color theme="1"/>
      <name val="tahoma"/>
      <family val="2"/>
    </font>
    <font>
      <b/>
      <sz val="12"/>
      <color theme="1"/>
      <name val="tahoma"/>
      <family val="2"/>
    </font>
    <font>
      <i/>
      <sz val="8"/>
      <name val="tahoma"/>
      <family val="2"/>
    </font>
    <font>
      <sz val="8"/>
      <name val="tahoma"/>
      <family val="2"/>
    </font>
    <font>
      <sz val="9"/>
      <color rgb="FFFFFFFF"/>
      <name val="Tahoma"/>
      <family val="2"/>
    </font>
    <font>
      <sz val="14"/>
      <color rgb="FFFF0000"/>
      <name val="Webdings"/>
      <family val="1"/>
      <charset val="2"/>
    </font>
    <font>
      <b/>
      <sz val="10"/>
      <color theme="1"/>
      <name val="tahoma"/>
      <family val="2"/>
    </font>
    <font>
      <b/>
      <sz val="10"/>
      <color rgb="FF006100"/>
      <name val="Calibri"/>
      <family val="2"/>
      <scheme val="minor"/>
    </font>
    <font>
      <sz val="10"/>
      <name val="Univers"/>
      <family val="2"/>
    </font>
    <font>
      <sz val="48"/>
      <color rgb="FF4A4A4A"/>
      <name val="Calibri Light"/>
      <family val="2"/>
    </font>
    <font>
      <sz val="24"/>
      <color rgb="FF4A4A4A"/>
      <name val="Calibri"/>
      <family val="2"/>
    </font>
    <font>
      <sz val="18"/>
      <color rgb="FF4A4A4A"/>
      <name val="Calibri"/>
      <family val="2"/>
    </font>
    <font>
      <u/>
      <sz val="10"/>
      <color indexed="36"/>
      <name val="Tahoma"/>
      <family val="2"/>
    </font>
    <font>
      <sz val="16"/>
      <color rgb="FF4A4A4A"/>
      <name val="Calibri"/>
      <family val="2"/>
    </font>
    <font>
      <sz val="16"/>
      <color rgb="FF717171"/>
      <name val="Calibri"/>
      <family val="2"/>
    </font>
    <font>
      <sz val="14"/>
      <color rgb="FF4A4A4A"/>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sz val="36"/>
      <color rgb="FF4A4A4A"/>
      <name val="Calibri"/>
      <family val="2"/>
    </font>
    <font>
      <i/>
      <sz val="12"/>
      <color rgb="FF4A4A4A"/>
      <name val="Calibri"/>
      <family val="2"/>
    </font>
    <font>
      <sz val="7"/>
      <color rgb="FF4A90E2"/>
      <name val="Small Fonts"/>
      <family val="2"/>
    </font>
    <font>
      <sz val="20"/>
      <color rgb="FF4A90E2"/>
      <name val="Wingdings 3"/>
      <family val="1"/>
      <charset val="2"/>
    </font>
    <font>
      <sz val="9"/>
      <color rgb="FF4A90E2"/>
      <name val="Tahoma"/>
      <family val="2"/>
    </font>
    <font>
      <sz val="6"/>
      <color rgb="FF4A90E2"/>
      <name val="tahoma"/>
      <family val="2"/>
    </font>
    <font>
      <sz val="14"/>
      <color rgb="FF4A90E2"/>
      <name val="Webdings"/>
      <family val="1"/>
      <charset val="2"/>
    </font>
    <font>
      <b/>
      <sz val="8"/>
      <color indexed="63"/>
      <name val="Tahoma"/>
      <family val="2"/>
    </font>
    <font>
      <sz val="36"/>
      <color rgb="FFD9E1F2"/>
      <name val="Wingdings 3"/>
      <family val="1"/>
      <charset val="2"/>
    </font>
    <font>
      <sz val="9"/>
      <name val="Calibri"/>
      <family val="2"/>
    </font>
    <font>
      <u/>
      <sz val="9"/>
      <color theme="10"/>
      <name val="Tahoma"/>
      <family val="2"/>
    </font>
    <font>
      <sz val="9"/>
      <color rgb="FF717171"/>
      <name val="Calibri"/>
      <family val="2"/>
    </font>
    <font>
      <i/>
      <sz val="9"/>
      <color rgb="FF717171"/>
      <name val="Calibri"/>
      <family val="2"/>
    </font>
    <font>
      <sz val="18"/>
      <color theme="1" tint="0.34998626667073579"/>
      <name val="Calibri"/>
      <family val="2"/>
      <scheme val="minor"/>
    </font>
    <font>
      <sz val="24"/>
      <color rgb="FF4A4A4A"/>
      <name val="Calibri Light"/>
      <family val="2"/>
    </font>
    <font>
      <sz val="18"/>
      <color rgb="FF717171"/>
      <name val="Calibri"/>
      <family val="2"/>
    </font>
    <font>
      <b/>
      <sz val="14"/>
      <color rgb="FF717171"/>
      <name val="Calibri"/>
      <family val="2"/>
    </font>
    <font>
      <b/>
      <sz val="9"/>
      <name val="tahoma"/>
      <family val="2"/>
    </font>
    <font>
      <sz val="23"/>
      <color rgb="FF4A4A4A"/>
      <name val="Calibri Light"/>
      <family val="2"/>
    </font>
  </fonts>
  <fills count="14">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D9E1F2"/>
      </patternFill>
    </fill>
    <fill>
      <patternFill patternType="solid">
        <fgColor rgb="FFFCE4D6"/>
      </patternFill>
    </fill>
    <fill>
      <patternFill patternType="solid">
        <fgColor theme="0"/>
        <bgColor theme="4"/>
      </patternFill>
    </fill>
    <fill>
      <patternFill patternType="solid">
        <fgColor rgb="FFE2EFDA"/>
      </patternFill>
    </fill>
    <fill>
      <patternFill patternType="solid">
        <fgColor rgb="FFD9E1F2"/>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top/>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style="thin">
        <color rgb="FF4A90E2"/>
      </left>
      <right/>
      <top style="thin">
        <color rgb="FF4A90E2"/>
      </top>
      <bottom/>
      <diagonal/>
    </border>
    <border>
      <left/>
      <right style="thin">
        <color rgb="FF4A90E2"/>
      </right>
      <top style="thin">
        <color rgb="FF4A90E2"/>
      </top>
      <bottom/>
      <diagonal/>
    </border>
    <border>
      <left style="thin">
        <color rgb="FF4A90E2"/>
      </left>
      <right/>
      <top/>
      <bottom/>
      <diagonal/>
    </border>
    <border>
      <left/>
      <right style="thin">
        <color rgb="FF4A90E2"/>
      </right>
      <top/>
      <bottom/>
      <diagonal/>
    </border>
    <border>
      <left style="thin">
        <color rgb="FF4A90E2"/>
      </left>
      <right/>
      <top/>
      <bottom style="thin">
        <color rgb="FF4A90E2"/>
      </bottom>
      <diagonal/>
    </border>
    <border>
      <left/>
      <right style="thin">
        <color rgb="FF4A90E2"/>
      </right>
      <top/>
      <bottom style="thin">
        <color rgb="FF4A90E2"/>
      </bottom>
      <diagonal/>
    </border>
    <border>
      <left/>
      <right/>
      <top/>
      <bottom style="dashed">
        <color rgb="FF4A90E2"/>
      </bottom>
      <diagonal/>
    </border>
    <border>
      <left/>
      <right/>
      <top style="hair">
        <color rgb="FFD9E1F2"/>
      </top>
      <bottom style="hair">
        <color rgb="FFD9E1F2"/>
      </bottom>
      <diagonal/>
    </border>
  </borders>
  <cellStyleXfs count="35">
    <xf numFmtId="0" fontId="0" fillId="0" borderId="0"/>
    <xf numFmtId="0" fontId="2" fillId="0" borderId="0" applyNumberFormat="0" applyFont="0" applyFill="0" applyBorder="0" applyAlignment="0" applyProtection="0">
      <alignment vertical="top"/>
      <protection locked="0"/>
    </xf>
    <xf numFmtId="0" fontId="7" fillId="3" borderId="0" applyNumberFormat="0" applyBorder="0" applyAlignment="0" applyProtection="0"/>
    <xf numFmtId="0" fontId="8" fillId="4" borderId="0" applyNumberFormat="0" applyBorder="0" applyAlignment="0" applyProtection="0"/>
    <xf numFmtId="0" fontId="5" fillId="0" borderId="0">
      <alignment vertical="center"/>
    </xf>
    <xf numFmtId="9" fontId="1" fillId="0" borderId="0" applyFont="0" applyFill="0" applyBorder="0" applyAlignment="0" applyProtection="0"/>
    <xf numFmtId="9" fontId="6" fillId="0" borderId="0" applyFont="0" applyFill="0" applyBorder="0" applyAlignment="0" applyProtection="0"/>
    <xf numFmtId="173" fontId="18" fillId="0" borderId="0" applyFont="0" applyFill="0" applyBorder="0" applyAlignment="0" applyProtection="0"/>
    <xf numFmtId="0" fontId="19" fillId="0" borderId="0" applyNumberFormat="0" applyFill="0" applyBorder="0" applyAlignment="0" applyProtection="0">
      <alignment vertical="top"/>
    </xf>
    <xf numFmtId="0" fontId="20" fillId="0" borderId="0" applyNumberFormat="0" applyFill="0" applyBorder="0" applyAlignment="0" applyProtection="0">
      <alignment vertical="top"/>
    </xf>
    <xf numFmtId="0" fontId="21" fillId="0" borderId="0" applyNumberFormat="0" applyFill="0" applyBorder="0" applyAlignment="0" applyProtection="0">
      <alignment vertical="top"/>
    </xf>
    <xf numFmtId="0" fontId="22" fillId="0" borderId="0" applyNumberFormat="0" applyFont="0" applyFill="0" applyBorder="0" applyAlignment="0" applyProtection="0">
      <alignment vertical="top"/>
      <protection locked="0"/>
    </xf>
    <xf numFmtId="0" fontId="23" fillId="0" borderId="2" applyNumberFormat="0" applyFill="0" applyProtection="0">
      <alignment horizontal="left" vertical="center" indent="1"/>
    </xf>
    <xf numFmtId="0" fontId="24" fillId="0" borderId="3" applyNumberFormat="0" applyFill="0" applyProtection="0">
      <alignment horizontal="left" vertical="center" indent="1"/>
      <protection locked="0"/>
    </xf>
    <xf numFmtId="42" fontId="23" fillId="6" borderId="2" applyFill="0" applyProtection="0">
      <alignment horizontal="left" vertical="center" indent="1"/>
    </xf>
    <xf numFmtId="0" fontId="26" fillId="0" borderId="0" applyNumberFormat="0" applyFill="0" applyProtection="0">
      <alignment horizontal="right" vertical="center" indent="1"/>
    </xf>
    <xf numFmtId="0" fontId="26" fillId="0" borderId="0" applyNumberFormat="0" applyFill="0" applyProtection="0">
      <alignment horizontal="right" vertical="center" indent="1"/>
    </xf>
    <xf numFmtId="0" fontId="25" fillId="7" borderId="2" applyNumberFormat="0" applyBorder="0" applyProtection="0">
      <alignment horizontal="left" vertical="center" indent="1"/>
    </xf>
    <xf numFmtId="42" fontId="25" fillId="7" borderId="2" applyBorder="0">
      <alignment horizontal="left" vertical="center" indent="1"/>
    </xf>
    <xf numFmtId="174" fontId="25" fillId="8" borderId="2" applyNumberFormat="0" applyBorder="0" applyProtection="0">
      <alignment horizontal="left" vertical="center" indent="1"/>
    </xf>
    <xf numFmtId="0" fontId="25" fillId="9" borderId="4" applyAlignment="0">
      <alignment vertical="center"/>
    </xf>
    <xf numFmtId="0" fontId="27" fillId="0" borderId="0" applyFill="0" applyBorder="0" applyProtection="0">
      <alignment vertical="top"/>
    </xf>
    <xf numFmtId="42" fontId="28" fillId="6" borderId="5" applyNumberFormat="0" applyFill="0" applyProtection="0">
      <alignment horizontal="left" indent="1"/>
    </xf>
    <xf numFmtId="0" fontId="28" fillId="0" borderId="6" applyNumberFormat="0" applyFill="0" applyProtection="0">
      <alignment horizontal="left" vertical="center" indent="1"/>
    </xf>
    <xf numFmtId="0" fontId="25" fillId="0" borderId="7" applyNumberFormat="0" applyFill="0" applyProtection="0">
      <alignment horizontal="left" vertical="center" indent="1"/>
    </xf>
    <xf numFmtId="42" fontId="28" fillId="7" borderId="6" applyProtection="0">
      <alignment horizontal="left" vertical="center" indent="1"/>
    </xf>
    <xf numFmtId="174" fontId="25" fillId="10" borderId="2" applyNumberFormat="0" applyProtection="0">
      <alignment horizontal="left" vertical="center" indent="1"/>
    </xf>
    <xf numFmtId="0" fontId="26" fillId="0" borderId="8" applyNumberFormat="0" applyProtection="0">
      <alignment horizontal="left" vertical="center" indent="1"/>
    </xf>
    <xf numFmtId="0" fontId="29" fillId="5" borderId="0" applyNumberFormat="0" applyProtection="0">
      <alignment horizontal="left" vertical="center" wrapText="1" indent="1"/>
    </xf>
    <xf numFmtId="0" fontId="30" fillId="6" borderId="0">
      <alignment vertical="top"/>
    </xf>
    <xf numFmtId="0" fontId="31" fillId="8" borderId="0" applyNumberFormat="0" applyProtection="0">
      <alignment horizontal="left" vertical="center" wrapText="1" indent="1"/>
    </xf>
    <xf numFmtId="0" fontId="25" fillId="0" borderId="0" applyNumberFormat="0" applyFill="0" applyBorder="0" applyProtection="0">
      <alignment vertical="top"/>
    </xf>
    <xf numFmtId="0" fontId="42" fillId="0" borderId="0" applyNumberFormat="0" applyFill="0" applyBorder="0" applyAlignment="0" applyProtection="0"/>
    <xf numFmtId="0" fontId="25" fillId="0" borderId="0" applyNumberFormat="0" applyFill="0" applyBorder="0" applyProtection="0">
      <alignment vertical="top"/>
    </xf>
    <xf numFmtId="0" fontId="46" fillId="0" borderId="0" applyNumberFormat="0" applyFill="0" applyBorder="0" applyAlignment="0" applyProtection="0">
      <alignment vertical="top"/>
    </xf>
  </cellStyleXfs>
  <cellXfs count="219">
    <xf numFmtId="0" fontId="0" fillId="0" borderId="0" xfId="0"/>
    <xf numFmtId="0" fontId="3" fillId="0" borderId="0" xfId="0" applyFont="1" applyAlignment="1" applyProtection="1">
      <alignment vertical="center"/>
      <protection locked="0"/>
    </xf>
    <xf numFmtId="0" fontId="9" fillId="0" borderId="0" xfId="4" applyFont="1" applyProtection="1">
      <alignment vertical="center"/>
      <protection locked="0"/>
    </xf>
    <xf numFmtId="42" fontId="7" fillId="3" borderId="0" xfId="2" applyNumberFormat="1" applyAlignment="1" applyProtection="1">
      <alignment vertical="center"/>
      <protection locked="0"/>
    </xf>
    <xf numFmtId="0" fontId="9" fillId="0" borderId="1" xfId="4" applyFont="1" applyBorder="1" applyProtection="1">
      <alignment vertical="center"/>
      <protection locked="0"/>
    </xf>
    <xf numFmtId="42" fontId="7" fillId="0" borderId="0" xfId="2" applyNumberFormat="1" applyFill="1" applyAlignment="1" applyProtection="1">
      <alignment vertical="center"/>
      <protection locked="0"/>
    </xf>
    <xf numFmtId="0" fontId="3" fillId="0" borderId="0" xfId="4" applyFont="1" applyAlignment="1" applyProtection="1">
      <alignment horizontal="left" vertical="center"/>
      <protection locked="0"/>
    </xf>
    <xf numFmtId="14" fontId="9" fillId="0" borderId="0" xfId="4" applyNumberFormat="1" applyFont="1" applyAlignment="1" applyProtection="1">
      <alignment horizontal="left" vertical="center"/>
      <protection locked="0"/>
    </xf>
    <xf numFmtId="0" fontId="9" fillId="0" borderId="0" xfId="4" applyFont="1" applyAlignment="1" applyProtection="1">
      <alignment horizontal="left" vertical="center"/>
      <protection locked="0"/>
    </xf>
    <xf numFmtId="0" fontId="10" fillId="0" borderId="0" xfId="4" applyFont="1" applyAlignment="1" applyProtection="1">
      <alignment horizontal="left" vertical="center"/>
      <protection locked="0"/>
    </xf>
    <xf numFmtId="0" fontId="10" fillId="0" borderId="0" xfId="4" applyFont="1" applyAlignment="1" applyProtection="1">
      <alignment horizontal="right" vertical="center"/>
      <protection locked="0"/>
    </xf>
    <xf numFmtId="0" fontId="10" fillId="0" borderId="0" xfId="4" applyFont="1" applyAlignment="1" applyProtection="1">
      <alignment horizontal="right" vertical="center" indent="1"/>
      <protection locked="0"/>
    </xf>
    <xf numFmtId="0" fontId="10" fillId="0" borderId="1" xfId="4" applyFont="1" applyBorder="1" applyAlignment="1" applyProtection="1">
      <alignment horizontal="right" vertical="center"/>
      <protection locked="0"/>
    </xf>
    <xf numFmtId="10" fontId="9" fillId="0" borderId="0" xfId="6" applyNumberFormat="1" applyFont="1" applyFill="1" applyBorder="1" applyAlignment="1" applyProtection="1">
      <alignment vertical="center"/>
      <protection locked="0"/>
    </xf>
    <xf numFmtId="42" fontId="9" fillId="0" borderId="0" xfId="4" applyNumberFormat="1" applyFont="1" applyProtection="1">
      <alignment vertical="center"/>
      <protection locked="0"/>
    </xf>
    <xf numFmtId="0" fontId="9" fillId="0" borderId="1" xfId="4" applyFont="1" applyBorder="1" applyAlignment="1" applyProtection="1">
      <alignment horizontal="left" vertical="center"/>
      <protection locked="0"/>
    </xf>
    <xf numFmtId="11" fontId="9" fillId="0" borderId="0" xfId="4" applyNumberFormat="1" applyFont="1" applyProtection="1">
      <alignment vertical="center"/>
      <protection locked="0"/>
    </xf>
    <xf numFmtId="42" fontId="7" fillId="3" borderId="0" xfId="2" applyNumberFormat="1" applyBorder="1" applyAlignment="1" applyProtection="1">
      <alignment vertical="center"/>
      <protection locked="0"/>
    </xf>
    <xf numFmtId="42" fontId="7" fillId="0" borderId="0" xfId="2" applyNumberFormat="1" applyFill="1" applyBorder="1" applyAlignment="1" applyProtection="1">
      <alignment vertical="center"/>
      <protection locked="0"/>
    </xf>
    <xf numFmtId="9" fontId="9" fillId="0" borderId="0" xfId="4" applyNumberFormat="1" applyFont="1" applyProtection="1">
      <alignment vertical="center"/>
      <protection locked="0"/>
    </xf>
    <xf numFmtId="10" fontId="9" fillId="0" borderId="0" xfId="4" applyNumberFormat="1" applyFont="1" applyProtection="1">
      <alignment vertical="center"/>
      <protection locked="0"/>
    </xf>
    <xf numFmtId="41" fontId="9" fillId="0" borderId="1" xfId="4" applyNumberFormat="1" applyFont="1" applyBorder="1" applyProtection="1">
      <alignment vertical="center"/>
      <protection locked="0"/>
    </xf>
    <xf numFmtId="41" fontId="9" fillId="0" borderId="0" xfId="4" applyNumberFormat="1" applyFont="1" applyProtection="1">
      <alignment vertical="center"/>
      <protection locked="0"/>
    </xf>
    <xf numFmtId="168" fontId="7" fillId="3" borderId="0" xfId="2" applyNumberFormat="1" applyBorder="1" applyAlignment="1" applyProtection="1">
      <alignment vertical="center"/>
      <protection locked="0"/>
    </xf>
    <xf numFmtId="168" fontId="7" fillId="0" borderId="0" xfId="2" applyNumberFormat="1" applyFill="1" applyBorder="1" applyAlignment="1" applyProtection="1">
      <alignment vertical="center"/>
      <protection locked="0"/>
    </xf>
    <xf numFmtId="2" fontId="7" fillId="3" borderId="0" xfId="2" applyNumberFormat="1" applyBorder="1" applyAlignment="1" applyProtection="1">
      <alignment vertical="center"/>
      <protection locked="0"/>
    </xf>
    <xf numFmtId="0" fontId="3" fillId="0" borderId="0" xfId="4" applyFont="1" applyProtection="1">
      <alignment vertical="center"/>
      <protection locked="0"/>
    </xf>
    <xf numFmtId="2" fontId="7" fillId="0" borderId="0" xfId="2" applyNumberFormat="1" applyFill="1" applyBorder="1" applyAlignment="1" applyProtection="1">
      <alignment vertical="center"/>
      <protection locked="0"/>
    </xf>
    <xf numFmtId="168" fontId="9" fillId="0" borderId="0" xfId="4" applyNumberFormat="1" applyFont="1" applyProtection="1">
      <alignment vertical="center"/>
      <protection locked="0"/>
    </xf>
    <xf numFmtId="164" fontId="7" fillId="3" borderId="0" xfId="2" applyNumberFormat="1" applyBorder="1" applyAlignment="1" applyProtection="1">
      <alignment vertical="center"/>
      <protection locked="0"/>
    </xf>
    <xf numFmtId="10" fontId="7" fillId="3" borderId="0" xfId="2" applyNumberFormat="1" applyBorder="1" applyAlignment="1" applyProtection="1">
      <alignment vertical="center"/>
      <protection locked="0"/>
    </xf>
    <xf numFmtId="0" fontId="11" fillId="0" borderId="0" xfId="4" applyFont="1" applyAlignment="1" applyProtection="1">
      <alignment horizontal="left" vertical="center"/>
      <protection locked="0"/>
    </xf>
    <xf numFmtId="42" fontId="10" fillId="0" borderId="0" xfId="4" applyNumberFormat="1" applyFont="1" applyProtection="1">
      <alignment vertical="center"/>
      <protection locked="0"/>
    </xf>
    <xf numFmtId="0" fontId="10" fillId="0" borderId="0" xfId="4" applyFont="1" applyProtection="1">
      <alignment vertical="center"/>
      <protection locked="0"/>
    </xf>
    <xf numFmtId="166" fontId="9" fillId="0" borderId="0" xfId="6" applyNumberFormat="1" applyFont="1" applyFill="1" applyBorder="1" applyAlignment="1" applyProtection="1">
      <alignment vertical="center"/>
      <protection locked="0"/>
    </xf>
    <xf numFmtId="167" fontId="10" fillId="0" borderId="0" xfId="6" applyNumberFormat="1" applyFont="1" applyFill="1" applyBorder="1" applyAlignment="1" applyProtection="1">
      <alignment horizontal="right" vertical="center"/>
      <protection locked="0"/>
    </xf>
    <xf numFmtId="9" fontId="9" fillId="0" borderId="0" xfId="6" applyFont="1" applyFill="1" applyAlignment="1" applyProtection="1">
      <alignment vertical="center"/>
      <protection locked="0"/>
    </xf>
    <xf numFmtId="9" fontId="10" fillId="0" borderId="0" xfId="6" applyFont="1" applyFill="1" applyBorder="1" applyAlignment="1" applyProtection="1">
      <alignment horizontal="right" vertical="center"/>
      <protection locked="0"/>
    </xf>
    <xf numFmtId="10" fontId="9" fillId="0" borderId="0" xfId="6" applyNumberFormat="1" applyFont="1" applyFill="1" applyAlignment="1" applyProtection="1">
      <alignment vertical="center"/>
      <protection locked="0"/>
    </xf>
    <xf numFmtId="9" fontId="9" fillId="0" borderId="0" xfId="6" applyFont="1" applyFill="1" applyBorder="1" applyAlignment="1" applyProtection="1">
      <alignment vertical="center"/>
      <protection locked="0"/>
    </xf>
    <xf numFmtId="10" fontId="7" fillId="0" borderId="0" xfId="2" applyNumberFormat="1" applyFill="1" applyBorder="1" applyAlignment="1" applyProtection="1">
      <alignment vertical="center"/>
      <protection locked="0"/>
    </xf>
    <xf numFmtId="0" fontId="7" fillId="3" borderId="0" xfId="2" applyAlignment="1" applyProtection="1">
      <alignment vertical="center"/>
      <protection locked="0"/>
    </xf>
    <xf numFmtId="0" fontId="3" fillId="0" borderId="0" xfId="0" applyFont="1"/>
    <xf numFmtId="14" fontId="9" fillId="0" borderId="0" xfId="4" applyNumberFormat="1" applyFont="1" applyProtection="1">
      <alignment vertical="center"/>
      <protection locked="0"/>
    </xf>
    <xf numFmtId="2" fontId="9" fillId="0" borderId="0" xfId="4" applyNumberFormat="1" applyFont="1" applyProtection="1">
      <alignment vertical="center"/>
      <protection locked="0"/>
    </xf>
    <xf numFmtId="13" fontId="9" fillId="0" borderId="0" xfId="4" applyNumberFormat="1" applyFont="1" applyProtection="1">
      <alignment vertical="center"/>
      <protection locked="0"/>
    </xf>
    <xf numFmtId="10" fontId="10" fillId="0" borderId="0" xfId="5" applyNumberFormat="1" applyFont="1" applyFill="1" applyBorder="1" applyAlignment="1" applyProtection="1">
      <alignment horizontal="right" vertical="center" indent="1"/>
      <protection locked="0"/>
    </xf>
    <xf numFmtId="10" fontId="9" fillId="0" borderId="0" xfId="5" applyNumberFormat="1" applyFont="1" applyFill="1" applyBorder="1" applyAlignment="1" applyProtection="1">
      <alignment vertical="center"/>
      <protection locked="0"/>
    </xf>
    <xf numFmtId="10" fontId="3" fillId="0" borderId="0" xfId="0" applyNumberFormat="1" applyFont="1"/>
    <xf numFmtId="172" fontId="9" fillId="0" borderId="0" xfId="4" applyNumberFormat="1" applyFont="1" applyProtection="1">
      <alignment vertical="center"/>
      <protection locked="0"/>
    </xf>
    <xf numFmtId="1" fontId="9" fillId="0" borderId="0" xfId="4" applyNumberFormat="1" applyFont="1" applyProtection="1">
      <alignment vertical="center"/>
      <protection locked="0"/>
    </xf>
    <xf numFmtId="14" fontId="9" fillId="0" borderId="0" xfId="4" applyNumberFormat="1" applyFont="1" applyAlignment="1" applyProtection="1">
      <alignment horizontal="right" vertical="center"/>
      <protection locked="0"/>
    </xf>
    <xf numFmtId="10" fontId="10" fillId="0" borderId="0" xfId="4" applyNumberFormat="1" applyFont="1" applyProtection="1">
      <alignment vertical="center"/>
      <protection locked="0"/>
    </xf>
    <xf numFmtId="166" fontId="9" fillId="0" borderId="0" xfId="4" applyNumberFormat="1" applyFont="1" applyProtection="1">
      <alignment vertical="center"/>
      <protection locked="0"/>
    </xf>
    <xf numFmtId="164" fontId="10" fillId="0" borderId="0" xfId="4" applyNumberFormat="1" applyFont="1" applyAlignment="1" applyProtection="1">
      <alignment horizontal="right" vertical="center"/>
      <protection locked="0"/>
    </xf>
    <xf numFmtId="164" fontId="10" fillId="0" borderId="0" xfId="4" applyNumberFormat="1" applyFont="1" applyAlignment="1" applyProtection="1">
      <alignment horizontal="right" vertical="center" indent="1"/>
      <protection locked="0"/>
    </xf>
    <xf numFmtId="167" fontId="9" fillId="0" borderId="0" xfId="4" applyNumberFormat="1" applyFont="1" applyProtection="1">
      <alignment vertical="center"/>
      <protection locked="0"/>
    </xf>
    <xf numFmtId="167" fontId="9" fillId="0" borderId="0" xfId="4" applyNumberFormat="1" applyFont="1" applyAlignment="1" applyProtection="1">
      <alignment horizontal="right" vertical="center"/>
      <protection locked="0"/>
    </xf>
    <xf numFmtId="164" fontId="9" fillId="0" borderId="0" xfId="4" applyNumberFormat="1" applyFont="1" applyProtection="1">
      <alignment vertical="center"/>
      <protection locked="0"/>
    </xf>
    <xf numFmtId="164" fontId="9" fillId="0" borderId="0" xfId="4" applyNumberFormat="1" applyFont="1" applyAlignment="1" applyProtection="1">
      <alignment horizontal="right" vertical="center"/>
      <protection locked="0"/>
    </xf>
    <xf numFmtId="164" fontId="10" fillId="0" borderId="0" xfId="4" applyNumberFormat="1" applyFont="1" applyProtection="1">
      <alignment vertical="center"/>
      <protection locked="0"/>
    </xf>
    <xf numFmtId="0" fontId="9" fillId="0" borderId="0" xfId="4" applyFont="1" applyAlignment="1" applyProtection="1">
      <alignment horizontal="right" vertical="center"/>
      <protection locked="0"/>
    </xf>
    <xf numFmtId="0" fontId="9" fillId="0" borderId="0" xfId="4" applyFont="1" applyAlignment="1" applyProtection="1">
      <alignment horizontal="right" vertical="center" indent="1"/>
      <protection locked="0"/>
    </xf>
    <xf numFmtId="1" fontId="9" fillId="0" borderId="0" xfId="4" applyNumberFormat="1" applyFont="1" applyAlignment="1" applyProtection="1">
      <alignment horizontal="right" vertical="center"/>
      <protection locked="0"/>
    </xf>
    <xf numFmtId="3" fontId="9" fillId="0" borderId="0" xfId="4" applyNumberFormat="1" applyFont="1" applyProtection="1">
      <alignment vertical="center"/>
      <protection locked="0"/>
    </xf>
    <xf numFmtId="10" fontId="9" fillId="0" borderId="0" xfId="4" applyNumberFormat="1" applyFont="1" applyAlignment="1" applyProtection="1">
      <alignment horizontal="right" vertical="center"/>
      <protection locked="0"/>
    </xf>
    <xf numFmtId="2" fontId="9" fillId="0" borderId="0" xfId="4" applyNumberFormat="1" applyFont="1" applyAlignment="1" applyProtection="1">
      <alignment horizontal="right" vertical="center"/>
      <protection locked="0"/>
    </xf>
    <xf numFmtId="0" fontId="16" fillId="0" borderId="0" xfId="4" applyFont="1" applyAlignment="1" applyProtection="1">
      <alignment horizontal="right" vertical="center"/>
      <protection locked="0"/>
    </xf>
    <xf numFmtId="14" fontId="16" fillId="0" borderId="0" xfId="4" applyNumberFormat="1" applyFont="1" applyAlignment="1" applyProtection="1">
      <alignment horizontal="right" vertical="center"/>
      <protection locked="0"/>
    </xf>
    <xf numFmtId="2" fontId="17" fillId="3" borderId="0" xfId="2" applyNumberFormat="1" applyFont="1" applyBorder="1" applyAlignment="1" applyProtection="1">
      <alignment horizontal="right" vertical="center"/>
      <protection locked="0"/>
    </xf>
    <xf numFmtId="14" fontId="3" fillId="0" borderId="0" xfId="4" applyNumberFormat="1" applyFont="1" applyAlignment="1" applyProtection="1">
      <alignment horizontal="right" vertical="center"/>
      <protection locked="0"/>
    </xf>
    <xf numFmtId="14" fontId="3" fillId="0" borderId="0" xfId="0" applyNumberFormat="1" applyFont="1" applyAlignment="1" applyProtection="1">
      <alignment horizontal="right"/>
      <protection locked="0"/>
    </xf>
    <xf numFmtId="2" fontId="9" fillId="0" borderId="0" xfId="6" applyNumberFormat="1" applyFont="1" applyFill="1" applyBorder="1" applyAlignment="1" applyProtection="1">
      <alignment horizontal="right" vertical="center"/>
      <protection locked="0"/>
    </xf>
    <xf numFmtId="14" fontId="3" fillId="0" borderId="0" xfId="0" applyNumberFormat="1" applyFont="1" applyAlignment="1" applyProtection="1">
      <alignment horizontal="right" vertical="center"/>
      <protection locked="0"/>
    </xf>
    <xf numFmtId="42" fontId="9" fillId="0" borderId="0" xfId="4" applyNumberFormat="1" applyFont="1" applyAlignment="1" applyProtection="1">
      <alignment horizontal="right" vertical="center"/>
      <protection locked="0"/>
    </xf>
    <xf numFmtId="10" fontId="23" fillId="7" borderId="2" xfId="12" applyNumberFormat="1" applyFill="1" applyAlignment="1" applyProtection="1">
      <alignment horizontal="right" vertical="center" indent="1"/>
      <protection locked="0"/>
    </xf>
    <xf numFmtId="0" fontId="26" fillId="0" borderId="9" xfId="16" applyFill="1" applyBorder="1" applyAlignment="1" applyProtection="1">
      <alignment horizontal="left" vertical="center" indent="1"/>
      <protection locked="0"/>
    </xf>
    <xf numFmtId="0" fontId="3" fillId="0" borderId="5" xfId="0" applyFont="1" applyBorder="1" applyAlignment="1" applyProtection="1">
      <alignment vertical="center"/>
      <protection locked="0"/>
    </xf>
    <xf numFmtId="0" fontId="26" fillId="0" borderId="11" xfId="16" applyFill="1" applyBorder="1" applyAlignment="1" applyProtection="1">
      <alignment horizontal="left" vertical="center" indent="1"/>
      <protection locked="0"/>
    </xf>
    <xf numFmtId="165" fontId="4" fillId="0" borderId="9"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26" fillId="0" borderId="11" xfId="16" applyFill="1" applyBorder="1" applyProtection="1">
      <alignment horizontal="right" vertical="center" indent="1"/>
      <protection locked="0"/>
    </xf>
    <xf numFmtId="10" fontId="10" fillId="0" borderId="0" xfId="4" applyNumberFormat="1" applyFont="1" applyAlignment="1" applyProtection="1">
      <alignment horizontal="right" vertical="center"/>
      <protection locked="0"/>
    </xf>
    <xf numFmtId="0" fontId="3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35" fillId="0" borderId="0" xfId="1" applyFont="1" applyFill="1" applyBorder="1" applyAlignment="1" applyProtection="1">
      <alignment horizontal="center" vertical="center"/>
      <protection locked="0"/>
    </xf>
    <xf numFmtId="0" fontId="36" fillId="0" borderId="0" xfId="0" applyFont="1" applyAlignment="1" applyProtection="1">
      <alignmen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center" vertical="center"/>
      <protection locked="0"/>
    </xf>
    <xf numFmtId="42" fontId="23" fillId="7" borderId="2" xfId="14" applyFill="1" applyProtection="1">
      <alignment horizontal="left" vertical="center" indent="1"/>
      <protection locked="0"/>
    </xf>
    <xf numFmtId="3" fontId="32" fillId="0" borderId="0" xfId="9" applyNumberFormat="1" applyFont="1" applyFill="1" applyBorder="1" applyAlignment="1" applyProtection="1">
      <alignment horizontal="left" vertical="center" indent="2"/>
      <protection locked="0"/>
    </xf>
    <xf numFmtId="165" fontId="21" fillId="0" borderId="0" xfId="10" applyNumberFormat="1" applyFill="1" applyBorder="1" applyAlignment="1" applyProtection="1">
      <alignment vertical="center"/>
      <protection locked="0"/>
    </xf>
    <xf numFmtId="0" fontId="3" fillId="11" borderId="0" xfId="0" applyFont="1" applyFill="1" applyAlignment="1" applyProtection="1">
      <alignment vertical="center"/>
      <protection locked="0"/>
    </xf>
    <xf numFmtId="0" fontId="3" fillId="0" borderId="0" xfId="0" applyFont="1" applyAlignment="1" applyProtection="1">
      <alignment horizontal="left" vertical="center" indent="1"/>
      <protection locked="0"/>
    </xf>
    <xf numFmtId="14" fontId="3"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0" fontId="28" fillId="0" borderId="6" xfId="23" applyFill="1" applyProtection="1">
      <alignment horizontal="left" vertical="center" indent="1"/>
      <protection locked="0"/>
    </xf>
    <xf numFmtId="0" fontId="33" fillId="0" borderId="0" xfId="10" applyFont="1" applyAlignment="1" applyProtection="1">
      <alignment vertical="center"/>
      <protection locked="0"/>
    </xf>
    <xf numFmtId="0" fontId="26" fillId="0" borderId="11" xfId="16" applyBorder="1" applyProtection="1">
      <alignment horizontal="right" vertical="center" indent="1"/>
      <protection locked="0"/>
    </xf>
    <xf numFmtId="0" fontId="3" fillId="0" borderId="12" xfId="0" applyFont="1" applyBorder="1" applyAlignment="1" applyProtection="1">
      <alignment vertical="center"/>
      <protection locked="0"/>
    </xf>
    <xf numFmtId="42" fontId="25" fillId="7" borderId="11" xfId="18" applyBorder="1" applyAlignment="1" applyProtection="1">
      <alignment horizontal="right" vertical="center" indent="1"/>
      <protection locked="0"/>
    </xf>
    <xf numFmtId="42" fontId="25" fillId="7" borderId="0" xfId="18" applyBorder="1" applyProtection="1">
      <alignment horizontal="left" vertical="center" indent="1"/>
      <protection locked="0"/>
    </xf>
    <xf numFmtId="0" fontId="3" fillId="0" borderId="11" xfId="0" applyFont="1" applyBorder="1" applyAlignment="1" applyProtection="1">
      <alignment horizontal="left" vertical="center" indent="2"/>
      <protection locked="0"/>
    </xf>
    <xf numFmtId="42" fontId="3" fillId="0" borderId="12" xfId="0" applyNumberFormat="1" applyFont="1" applyBorder="1" applyAlignment="1" applyProtection="1">
      <alignment vertical="center"/>
      <protection locked="0"/>
    </xf>
    <xf numFmtId="42" fontId="3" fillId="0" borderId="0" xfId="0" applyNumberFormat="1" applyFont="1" applyAlignment="1" applyProtection="1">
      <alignment vertical="center"/>
      <protection locked="0"/>
    </xf>
    <xf numFmtId="0" fontId="12" fillId="0" borderId="11" xfId="0" applyFont="1" applyBorder="1" applyAlignment="1" applyProtection="1">
      <alignment horizontal="right" vertical="center"/>
      <protection locked="0"/>
    </xf>
    <xf numFmtId="170" fontId="12" fillId="0" borderId="0" xfId="0" applyNumberFormat="1" applyFont="1" applyAlignment="1" applyProtection="1">
      <alignment horizontal="center" vertical="center"/>
      <protection locked="0"/>
    </xf>
    <xf numFmtId="10" fontId="12" fillId="0" borderId="0" xfId="0" applyNumberFormat="1" applyFont="1" applyAlignment="1" applyProtection="1">
      <alignment horizontal="center" vertical="center"/>
      <protection locked="0"/>
    </xf>
    <xf numFmtId="170" fontId="12" fillId="0" borderId="12" xfId="0" applyNumberFormat="1" applyFont="1" applyBorder="1" applyAlignment="1" applyProtection="1">
      <alignment horizontal="left" vertical="center"/>
      <protection locked="0"/>
    </xf>
    <xf numFmtId="171" fontId="13" fillId="0" borderId="0" xfId="0" applyNumberFormat="1" applyFont="1" applyAlignment="1" applyProtection="1">
      <alignment horizontal="center" vertical="center"/>
      <protection locked="0"/>
    </xf>
    <xf numFmtId="171" fontId="13" fillId="0" borderId="12" xfId="0" applyNumberFormat="1" applyFont="1" applyBorder="1" applyAlignment="1" applyProtection="1">
      <alignment horizontal="left" vertical="center"/>
      <protection locked="0"/>
    </xf>
    <xf numFmtId="42" fontId="28" fillId="7" borderId="13" xfId="25" applyBorder="1" applyAlignment="1" applyProtection="1">
      <alignment horizontal="right" vertical="center" indent="1"/>
      <protection locked="0"/>
    </xf>
    <xf numFmtId="42" fontId="28" fillId="7" borderId="6" xfId="25" applyProtection="1">
      <alignment horizontal="left" vertical="center" indent="1"/>
      <protection locked="0"/>
    </xf>
    <xf numFmtId="0" fontId="28" fillId="0" borderId="0" xfId="23" applyFill="1" applyBorder="1" applyProtection="1">
      <alignment horizontal="left" vertical="center" indent="1"/>
      <protection locked="0"/>
    </xf>
    <xf numFmtId="0" fontId="28" fillId="0" borderId="12" xfId="23" applyFill="1" applyBorder="1" applyProtection="1">
      <alignment horizontal="left" vertical="center" indent="1"/>
      <protection locked="0"/>
    </xf>
    <xf numFmtId="42" fontId="3" fillId="2" borderId="0" xfId="0" applyNumberFormat="1" applyFont="1" applyFill="1" applyAlignment="1" applyProtection="1">
      <alignment vertical="center"/>
      <protection locked="0"/>
    </xf>
    <xf numFmtId="170" fontId="12" fillId="2" borderId="0" xfId="0" applyNumberFormat="1" applyFont="1" applyFill="1" applyAlignment="1" applyProtection="1">
      <alignment horizontal="center" vertical="center"/>
      <protection locked="0"/>
    </xf>
    <xf numFmtId="10" fontId="12" fillId="0" borderId="11" xfId="0" applyNumberFormat="1" applyFont="1" applyBorder="1" applyAlignment="1" applyProtection="1">
      <alignment horizontal="right" vertical="center" indent="2"/>
      <protection locked="0"/>
    </xf>
    <xf numFmtId="171" fontId="12" fillId="0" borderId="0" xfId="0" applyNumberFormat="1" applyFont="1" applyAlignment="1" applyProtection="1">
      <alignment horizontal="center" vertical="center"/>
      <protection locked="0"/>
    </xf>
    <xf numFmtId="171" fontId="12" fillId="0" borderId="12" xfId="0" applyNumberFormat="1" applyFont="1" applyBorder="1" applyAlignment="1" applyProtection="1">
      <alignment horizontal="left" vertical="center"/>
      <protection locked="0"/>
    </xf>
    <xf numFmtId="0" fontId="26" fillId="0" borderId="9" xfId="16" applyBorder="1" applyProtection="1">
      <alignment horizontal="right" vertical="center" indent="1"/>
      <protection locked="0"/>
    </xf>
    <xf numFmtId="0" fontId="12" fillId="0" borderId="11" xfId="0" applyFont="1" applyBorder="1" applyAlignment="1" applyProtection="1">
      <alignment horizontal="right" vertical="center" indent="2"/>
      <protection locked="0"/>
    </xf>
    <xf numFmtId="42" fontId="25" fillId="0" borderId="12" xfId="18" applyFill="1" applyBorder="1">
      <alignment horizontal="left" vertical="center" indent="1"/>
    </xf>
    <xf numFmtId="42" fontId="25" fillId="7" borderId="12" xfId="18" applyBorder="1">
      <alignment horizontal="left" vertical="center" indent="1"/>
    </xf>
    <xf numFmtId="10" fontId="28" fillId="7" borderId="14" xfId="25" applyNumberFormat="1" applyBorder="1" applyAlignment="1" applyProtection="1">
      <alignment horizontal="right" vertical="center" indent="1"/>
    </xf>
    <xf numFmtId="0" fontId="25" fillId="0" borderId="7" xfId="24" applyFill="1" applyProtection="1">
      <alignment horizontal="left" vertical="center" indent="1"/>
    </xf>
    <xf numFmtId="164" fontId="25" fillId="0" borderId="7" xfId="24" applyNumberFormat="1" applyFill="1" applyProtection="1">
      <alignment horizontal="left" vertical="center" indent="1"/>
    </xf>
    <xf numFmtId="10" fontId="25" fillId="0" borderId="7" xfId="24" applyNumberFormat="1" applyFill="1" applyProtection="1">
      <alignment horizontal="left" vertical="center" indent="1"/>
    </xf>
    <xf numFmtId="42" fontId="25" fillId="0" borderId="0" xfId="18" applyFill="1" applyBorder="1">
      <alignment horizontal="left" vertical="center" indent="1"/>
    </xf>
    <xf numFmtId="42" fontId="25" fillId="7" borderId="0" xfId="18" applyBorder="1">
      <alignment horizontal="left" vertical="center" indent="1"/>
    </xf>
    <xf numFmtId="42" fontId="25" fillId="0" borderId="10" xfId="18" applyFill="1" applyBorder="1">
      <alignment horizontal="left" vertical="center" indent="1"/>
    </xf>
    <xf numFmtId="0" fontId="29" fillId="0" borderId="15" xfId="28" applyFill="1" applyBorder="1" applyAlignment="1" applyProtection="1">
      <alignment horizontal="left" wrapText="1" indent="1"/>
      <protection locked="0"/>
    </xf>
    <xf numFmtId="0" fontId="41" fillId="0" borderId="0" xfId="0" applyFont="1" applyAlignment="1" applyProtection="1">
      <alignment vertical="center"/>
      <protection locked="0"/>
    </xf>
    <xf numFmtId="42" fontId="25" fillId="0" borderId="0" xfId="14" applyFont="1" applyFill="1" applyBorder="1" applyProtection="1">
      <alignment horizontal="left" vertical="center" indent="1"/>
      <protection locked="0"/>
    </xf>
    <xf numFmtId="0" fontId="12" fillId="0" borderId="11" xfId="0" applyFont="1" applyBorder="1" applyAlignment="1">
      <alignment horizontal="right" vertical="center"/>
    </xf>
    <xf numFmtId="171" fontId="12" fillId="0" borderId="0" xfId="0" applyNumberFormat="1" applyFont="1" applyAlignment="1">
      <alignment horizontal="center" vertical="center"/>
    </xf>
    <xf numFmtId="10" fontId="12" fillId="0" borderId="0" xfId="5" applyNumberFormat="1" applyFont="1" applyBorder="1" applyAlignment="1" applyProtection="1">
      <alignment horizontal="center" vertical="center"/>
    </xf>
    <xf numFmtId="171" fontId="12" fillId="0" borderId="12" xfId="0" applyNumberFormat="1" applyFont="1" applyBorder="1" applyAlignment="1">
      <alignment horizontal="left" vertical="center"/>
    </xf>
    <xf numFmtId="0" fontId="12" fillId="0" borderId="11" xfId="0" applyFont="1" applyBorder="1" applyAlignment="1">
      <alignment horizontal="right" vertical="center" indent="2"/>
    </xf>
    <xf numFmtId="170" fontId="12" fillId="0" borderId="0" xfId="0" applyNumberFormat="1" applyFont="1" applyAlignment="1">
      <alignment horizontal="center" vertical="center"/>
    </xf>
    <xf numFmtId="10" fontId="12" fillId="0" borderId="0" xfId="0" applyNumberFormat="1" applyFont="1" applyAlignment="1">
      <alignment horizontal="center" vertical="center"/>
    </xf>
    <xf numFmtId="170" fontId="12" fillId="0" borderId="12" xfId="0" applyNumberFormat="1" applyFont="1" applyBorder="1" applyAlignment="1">
      <alignment horizontal="left" vertical="center"/>
    </xf>
    <xf numFmtId="10" fontId="12" fillId="0" borderId="11" xfId="0" applyNumberFormat="1" applyFont="1" applyBorder="1" applyAlignment="1">
      <alignment horizontal="right" vertical="center"/>
    </xf>
    <xf numFmtId="170" fontId="12" fillId="2" borderId="0" xfId="0" applyNumberFormat="1" applyFont="1" applyFill="1" applyAlignment="1">
      <alignment horizontal="center" vertical="center"/>
    </xf>
    <xf numFmtId="171" fontId="13" fillId="0" borderId="0" xfId="0" applyNumberFormat="1" applyFont="1" applyAlignment="1">
      <alignment horizontal="center" vertical="center"/>
    </xf>
    <xf numFmtId="10" fontId="13" fillId="0" borderId="0" xfId="5" applyNumberFormat="1" applyFont="1" applyBorder="1" applyAlignment="1" applyProtection="1">
      <alignment horizontal="center" vertical="center"/>
    </xf>
    <xf numFmtId="171" fontId="13" fillId="0" borderId="12" xfId="0" applyNumberFormat="1" applyFont="1" applyBorder="1" applyAlignment="1">
      <alignment horizontal="left" vertical="center"/>
    </xf>
    <xf numFmtId="0" fontId="40" fillId="0" borderId="0" xfId="32" applyFont="1" applyAlignment="1" applyProtection="1">
      <alignment vertical="center"/>
      <protection locked="0"/>
    </xf>
    <xf numFmtId="0" fontId="26" fillId="0" borderId="11" xfId="16" applyBorder="1" applyAlignment="1" applyProtection="1">
      <alignment horizontal="right" vertical="center" wrapText="1" indent="1"/>
      <protection locked="0"/>
    </xf>
    <xf numFmtId="0" fontId="45" fillId="0" borderId="0" xfId="0" applyFont="1"/>
    <xf numFmtId="42" fontId="25" fillId="0" borderId="12" xfId="18" applyFill="1" applyBorder="1" applyProtection="1">
      <alignment horizontal="left" vertical="center" indent="1"/>
      <protection locked="0"/>
    </xf>
    <xf numFmtId="42" fontId="25" fillId="0" borderId="0" xfId="18" applyFill="1" applyBorder="1" applyProtection="1">
      <alignment horizontal="left" vertical="center" indent="1"/>
      <protection locked="0"/>
    </xf>
    <xf numFmtId="0" fontId="26" fillId="0" borderId="8" xfId="27" applyProtection="1">
      <alignment horizontal="left" vertical="center" indent="1"/>
      <protection locked="0"/>
    </xf>
    <xf numFmtId="166" fontId="9" fillId="0" borderId="0" xfId="6" applyNumberFormat="1" applyFont="1" applyAlignment="1" applyProtection="1">
      <alignment vertical="center"/>
      <protection locked="0"/>
    </xf>
    <xf numFmtId="10" fontId="9" fillId="0" borderId="0" xfId="6" applyNumberFormat="1" applyFont="1" applyAlignment="1" applyProtection="1">
      <alignment vertical="center"/>
      <protection locked="0"/>
    </xf>
    <xf numFmtId="0" fontId="25" fillId="0" borderId="0" xfId="33">
      <alignment vertical="top"/>
    </xf>
    <xf numFmtId="0" fontId="25" fillId="0" borderId="0" xfId="33" applyAlignment="1">
      <alignment horizontal="center" vertical="center"/>
    </xf>
    <xf numFmtId="0" fontId="26" fillId="0" borderId="0" xfId="33" applyFont="1">
      <alignment vertical="top"/>
    </xf>
    <xf numFmtId="0" fontId="48" fillId="0" borderId="0" xfId="23" applyFont="1" applyBorder="1">
      <alignment horizontal="left" vertical="center" indent="1"/>
    </xf>
    <xf numFmtId="0" fontId="26" fillId="0" borderId="0" xfId="33" applyFont="1" applyAlignment="1">
      <alignment vertical="center"/>
    </xf>
    <xf numFmtId="0" fontId="25" fillId="0" borderId="0" xfId="33" applyAlignment="1">
      <alignment vertical="center"/>
    </xf>
    <xf numFmtId="0" fontId="48" fillId="6" borderId="0" xfId="23" applyFont="1" applyFill="1" applyBorder="1">
      <alignment horizontal="left" vertical="center" indent="1"/>
    </xf>
    <xf numFmtId="169" fontId="25" fillId="0" borderId="2" xfId="12" applyNumberFormat="1" applyFont="1" applyFill="1" applyProtection="1">
      <alignment horizontal="left" vertical="center" indent="1"/>
      <protection locked="0"/>
    </xf>
    <xf numFmtId="0" fontId="25" fillId="0" borderId="2" xfId="12" applyFont="1" applyFill="1" applyProtection="1">
      <alignment horizontal="left" vertical="center" indent="1"/>
      <protection locked="0"/>
    </xf>
    <xf numFmtId="42" fontId="25" fillId="0" borderId="2" xfId="14" applyFont="1" applyFill="1" applyProtection="1">
      <alignment horizontal="left" vertical="center" indent="1"/>
      <protection locked="0"/>
    </xf>
    <xf numFmtId="0" fontId="25" fillId="0" borderId="2" xfId="12" applyNumberFormat="1" applyFont="1" applyFill="1" applyAlignment="1" applyProtection="1">
      <alignment horizontal="right" vertical="center" indent="1"/>
      <protection locked="0"/>
    </xf>
    <xf numFmtId="169" fontId="25" fillId="0" borderId="2" xfId="12" applyNumberFormat="1" applyFont="1" applyFill="1" applyAlignment="1" applyProtection="1">
      <alignment horizontal="right" vertical="center" indent="1"/>
      <protection locked="0"/>
    </xf>
    <xf numFmtId="0" fontId="25" fillId="0" borderId="2" xfId="12" applyNumberFormat="1" applyFont="1" applyFill="1" applyProtection="1">
      <alignment horizontal="left" vertical="center" indent="1"/>
      <protection locked="0"/>
    </xf>
    <xf numFmtId="10" fontId="25" fillId="0" borderId="2" xfId="12" applyNumberFormat="1" applyFont="1" applyFill="1" applyProtection="1">
      <alignment horizontal="left" vertical="center" indent="1"/>
      <protection locked="0"/>
    </xf>
    <xf numFmtId="10" fontId="25" fillId="7" borderId="12" xfId="17" applyNumberFormat="1" applyBorder="1" applyProtection="1">
      <alignment horizontal="left" vertical="center" indent="1"/>
      <protection locked="0"/>
    </xf>
    <xf numFmtId="167" fontId="10" fillId="0" borderId="0" xfId="6" applyNumberFormat="1" applyFont="1" applyFill="1" applyAlignment="1" applyProtection="1">
      <alignment horizontal="right" vertical="center"/>
      <protection locked="0"/>
    </xf>
    <xf numFmtId="0" fontId="49" fillId="0" borderId="0" xfId="4" applyFont="1" applyProtection="1">
      <alignment vertical="center"/>
      <protection locked="0"/>
    </xf>
    <xf numFmtId="1" fontId="3" fillId="0" borderId="0" xfId="4" applyNumberFormat="1" applyFont="1" applyProtection="1">
      <alignment vertical="center"/>
      <protection locked="0"/>
    </xf>
    <xf numFmtId="10" fontId="3" fillId="0" borderId="0" xfId="4" applyNumberFormat="1" applyFont="1" applyProtection="1">
      <alignment vertical="center"/>
      <protection locked="0"/>
    </xf>
    <xf numFmtId="9" fontId="3" fillId="0" borderId="0" xfId="4" applyNumberFormat="1" applyFont="1" applyProtection="1">
      <alignment vertical="center"/>
      <protection locked="0"/>
    </xf>
    <xf numFmtId="166" fontId="3" fillId="0" borderId="0" xfId="4" applyNumberFormat="1" applyFont="1" applyProtection="1">
      <alignment vertical="center"/>
      <protection locked="0"/>
    </xf>
    <xf numFmtId="164" fontId="49" fillId="0" borderId="0" xfId="4" applyNumberFormat="1" applyFont="1" applyAlignment="1" applyProtection="1">
      <alignment horizontal="right" vertical="center"/>
      <protection locked="0"/>
    </xf>
    <xf numFmtId="167" fontId="3" fillId="0" borderId="0" xfId="4" applyNumberFormat="1" applyFont="1" applyAlignment="1" applyProtection="1">
      <alignment horizontal="right" vertical="center"/>
      <protection locked="0"/>
    </xf>
    <xf numFmtId="164" fontId="3" fillId="0" borderId="0" xfId="4" applyNumberFormat="1" applyFont="1" applyProtection="1">
      <alignment vertical="center"/>
      <protection locked="0"/>
    </xf>
    <xf numFmtId="41" fontId="3" fillId="0" borderId="0" xfId="4" applyNumberFormat="1" applyFont="1" applyProtection="1">
      <alignment vertical="center"/>
      <protection locked="0"/>
    </xf>
    <xf numFmtId="0" fontId="49" fillId="0" borderId="0" xfId="4" applyFont="1" applyAlignment="1" applyProtection="1">
      <alignment horizontal="right" vertical="center"/>
      <protection locked="0"/>
    </xf>
    <xf numFmtId="10" fontId="3" fillId="0" borderId="0" xfId="6" applyNumberFormat="1" applyFont="1" applyFill="1" applyBorder="1" applyAlignment="1" applyProtection="1">
      <alignment vertical="center"/>
      <protection locked="0"/>
    </xf>
    <xf numFmtId="167" fontId="49" fillId="0" borderId="0" xfId="6" applyNumberFormat="1" applyFont="1" applyFill="1" applyAlignment="1" applyProtection="1">
      <alignment horizontal="right" vertical="center"/>
      <protection locked="0"/>
    </xf>
    <xf numFmtId="0" fontId="3" fillId="0" borderId="0" xfId="4" applyFont="1" applyAlignment="1" applyProtection="1">
      <alignment horizontal="right" vertical="center"/>
      <protection locked="0"/>
    </xf>
    <xf numFmtId="3" fontId="3" fillId="0" borderId="0" xfId="4" applyNumberFormat="1" applyFont="1" applyProtection="1">
      <alignment vertical="center"/>
      <protection locked="0"/>
    </xf>
    <xf numFmtId="10" fontId="9" fillId="6" borderId="0" xfId="4" applyNumberFormat="1" applyFont="1" applyFill="1" applyProtection="1">
      <alignment vertical="center"/>
      <protection locked="0"/>
    </xf>
    <xf numFmtId="0" fontId="9" fillId="6" borderId="0" xfId="4" applyFont="1" applyFill="1" applyProtection="1">
      <alignment vertical="center"/>
      <protection locked="0"/>
    </xf>
    <xf numFmtId="3" fontId="9" fillId="6" borderId="0" xfId="4" applyNumberFormat="1" applyFont="1" applyFill="1" applyProtection="1">
      <alignment vertical="center"/>
      <protection locked="0"/>
    </xf>
    <xf numFmtId="10" fontId="9" fillId="6" borderId="0" xfId="6" applyNumberFormat="1" applyFont="1" applyFill="1" applyBorder="1" applyAlignment="1" applyProtection="1">
      <alignment vertical="center"/>
      <protection locked="0"/>
    </xf>
    <xf numFmtId="1" fontId="9" fillId="6" borderId="0" xfId="4" applyNumberFormat="1" applyFont="1" applyFill="1" applyProtection="1">
      <alignment vertical="center"/>
      <protection locked="0"/>
    </xf>
    <xf numFmtId="13" fontId="23" fillId="7" borderId="2" xfId="12" applyNumberFormat="1" applyFill="1" applyProtection="1">
      <alignment horizontal="left" vertical="center" indent="1"/>
    </xf>
    <xf numFmtId="0" fontId="9" fillId="12" borderId="0" xfId="4" applyFont="1" applyFill="1" applyAlignment="1" applyProtection="1">
      <alignment horizontal="left" vertical="center"/>
      <protection locked="0"/>
    </xf>
    <xf numFmtId="42" fontId="9" fillId="12" borderId="0" xfId="4" applyNumberFormat="1" applyFont="1" applyFill="1" applyAlignment="1" applyProtection="1">
      <alignment horizontal="left" vertical="center"/>
      <protection locked="0"/>
    </xf>
    <xf numFmtId="42" fontId="3" fillId="12" borderId="0" xfId="4" applyNumberFormat="1" applyFont="1" applyFill="1" applyAlignment="1" applyProtection="1">
      <alignment horizontal="left" vertical="center"/>
      <protection locked="0"/>
    </xf>
    <xf numFmtId="14" fontId="9" fillId="12" borderId="0" xfId="4" applyNumberFormat="1" applyFont="1" applyFill="1" applyAlignment="1" applyProtection="1">
      <alignment horizontal="left" vertical="center"/>
      <protection locked="0"/>
    </xf>
    <xf numFmtId="44" fontId="9" fillId="12" borderId="0" xfId="4" applyNumberFormat="1" applyFont="1" applyFill="1" applyProtection="1">
      <alignment vertical="center"/>
      <protection locked="0"/>
    </xf>
    <xf numFmtId="0" fontId="3" fillId="12" borderId="0" xfId="4" applyFont="1" applyFill="1" applyProtection="1">
      <alignment vertical="center"/>
      <protection locked="0"/>
    </xf>
    <xf numFmtId="0" fontId="9" fillId="12" borderId="0" xfId="4" applyFont="1" applyFill="1" applyProtection="1">
      <alignment vertical="center"/>
      <protection locked="0"/>
    </xf>
    <xf numFmtId="10" fontId="9" fillId="12" borderId="0" xfId="4" applyNumberFormat="1" applyFont="1" applyFill="1" applyProtection="1">
      <alignment vertical="center"/>
      <protection locked="0"/>
    </xf>
    <xf numFmtId="13" fontId="9" fillId="12" borderId="0" xfId="4" applyNumberFormat="1" applyFont="1" applyFill="1" applyProtection="1">
      <alignment vertical="center"/>
      <protection locked="0"/>
    </xf>
    <xf numFmtId="0" fontId="9" fillId="13" borderId="0" xfId="4" applyFont="1" applyFill="1" applyAlignment="1" applyProtection="1">
      <alignment horizontal="left" vertical="center"/>
      <protection locked="0"/>
    </xf>
    <xf numFmtId="42" fontId="9" fillId="13" borderId="0" xfId="4" applyNumberFormat="1" applyFont="1" applyFill="1" applyAlignment="1" applyProtection="1">
      <alignment horizontal="left" vertical="center"/>
      <protection locked="0"/>
    </xf>
    <xf numFmtId="42" fontId="3" fillId="13" borderId="0" xfId="4" applyNumberFormat="1" applyFont="1" applyFill="1" applyAlignment="1" applyProtection="1">
      <alignment horizontal="left" vertical="center"/>
      <protection locked="0"/>
    </xf>
    <xf numFmtId="14" fontId="9" fillId="13" borderId="0" xfId="4" applyNumberFormat="1" applyFont="1" applyFill="1" applyAlignment="1" applyProtection="1">
      <alignment horizontal="left" vertical="center"/>
      <protection locked="0"/>
    </xf>
    <xf numFmtId="0" fontId="9" fillId="13" borderId="0" xfId="4" applyFont="1" applyFill="1" applyProtection="1">
      <alignment vertical="center"/>
      <protection locked="0"/>
    </xf>
    <xf numFmtId="44" fontId="9" fillId="13" borderId="0" xfId="4" applyNumberFormat="1" applyFont="1" applyFill="1" applyProtection="1">
      <alignment vertical="center"/>
      <protection locked="0"/>
    </xf>
    <xf numFmtId="0" fontId="3" fillId="13" borderId="0" xfId="4" applyFont="1" applyFill="1" applyProtection="1">
      <alignment vertical="center"/>
      <protection locked="0"/>
    </xf>
    <xf numFmtId="2" fontId="8" fillId="0" borderId="0" xfId="3" applyNumberFormat="1" applyFill="1" applyBorder="1" applyAlignment="1" applyProtection="1">
      <alignment vertical="center"/>
      <protection locked="0"/>
    </xf>
    <xf numFmtId="10" fontId="9" fillId="13" borderId="0" xfId="4" applyNumberFormat="1" applyFont="1" applyFill="1" applyProtection="1">
      <alignment vertical="center"/>
      <protection locked="0"/>
    </xf>
    <xf numFmtId="13" fontId="9" fillId="13" borderId="0" xfId="4" applyNumberFormat="1" applyFont="1" applyFill="1" applyProtection="1">
      <alignment vertical="center"/>
      <protection locked="0"/>
    </xf>
    <xf numFmtId="2" fontId="9" fillId="13" borderId="0" xfId="4" applyNumberFormat="1" applyFont="1" applyFill="1" applyProtection="1">
      <alignment vertical="center"/>
      <protection locked="0"/>
    </xf>
    <xf numFmtId="175" fontId="9" fillId="0" borderId="0" xfId="4" applyNumberFormat="1" applyFont="1" applyProtection="1">
      <alignment vertical="center"/>
      <protection locked="0"/>
    </xf>
    <xf numFmtId="0" fontId="50" fillId="0" borderId="0" xfId="34" applyFont="1" applyAlignment="1">
      <alignment horizontal="center" vertical="center"/>
    </xf>
    <xf numFmtId="0" fontId="47" fillId="0" borderId="0" xfId="10" applyFont="1" applyAlignment="1">
      <alignment horizontal="left" indent="1"/>
    </xf>
    <xf numFmtId="169" fontId="29" fillId="0" borderId="16" xfId="16" applyNumberFormat="1" applyFont="1" applyBorder="1" applyAlignment="1">
      <alignment horizontal="left" vertical="center" indent="1"/>
    </xf>
    <xf numFmtId="0" fontId="29" fillId="0" borderId="16" xfId="28" applyFill="1" applyBorder="1">
      <alignment horizontal="left" vertical="center" wrapText="1" indent="1"/>
    </xf>
    <xf numFmtId="0" fontId="26" fillId="0" borderId="0" xfId="16" applyProtection="1">
      <alignment horizontal="right" vertical="center" indent="1"/>
      <protection locked="0"/>
    </xf>
    <xf numFmtId="3" fontId="46" fillId="0" borderId="0" xfId="8" applyNumberFormat="1" applyFont="1" applyFill="1" applyBorder="1" applyAlignment="1" applyProtection="1">
      <alignment horizontal="left" vertical="center" indent="2"/>
    </xf>
    <xf numFmtId="0" fontId="26" fillId="0" borderId="0" xfId="16" applyFill="1" applyProtection="1">
      <alignment horizontal="right" vertical="center" indent="1"/>
      <protection locked="0"/>
    </xf>
  </cellXfs>
  <cellStyles count="35">
    <cellStyle name="Doc title" xfId="8" xr:uid="{EF0EF8B2-439E-460A-929D-1447BD7A20CF}"/>
    <cellStyle name="Doc title 2" xfId="34" xr:uid="{F60FDF46-FC50-46D1-9AEC-3A2F6811C644}"/>
    <cellStyle name="Euro" xfId="7" xr:uid="{52311DE7-66C1-4641-9710-A229867B38A5}"/>
    <cellStyle name="Gevolgde hyperlink" xfId="1" builtinId="9"/>
    <cellStyle name="Goed" xfId="2" builtinId="26"/>
    <cellStyle name="Header_1" xfId="9" xr:uid="{F0418B41-7A63-4589-A25D-0AEE0E1A1776}"/>
    <cellStyle name="Header_3_1" xfId="10" xr:uid="{414DA947-3426-4DC9-B1EA-50F51BB92190}"/>
    <cellStyle name="Hyperlink" xfId="32" builtinId="8"/>
    <cellStyle name="Hyperlink 2" xfId="11" xr:uid="{052199AC-DA23-4E41-BDA7-F7FF2F73308D}"/>
    <cellStyle name="invoer - default" xfId="12" xr:uid="{57A31BBC-786E-404A-8313-B0B671F5378D}"/>
    <cellStyle name="invoer - toelichting" xfId="13" xr:uid="{4E4E61EA-1DEA-456C-AEDC-6451BA90DBE0}"/>
    <cellStyle name="Invoer financieel" xfId="14" xr:uid="{143E137C-874B-445A-A79C-18C4D6A0BD62}"/>
    <cellStyle name="labels" xfId="15" xr:uid="{BF8954BA-8943-4971-945C-34D58AE15F83}"/>
    <cellStyle name="labels-new" xfId="16" xr:uid="{62F28F91-AF37-4E9B-85FC-B0FC93807D42}"/>
    <cellStyle name="Neutraal" xfId="3" builtinId="28"/>
    <cellStyle name="Normal 2" xfId="4" xr:uid="{00000000-0005-0000-0000-000005000000}"/>
    <cellStyle name="Output - default" xfId="17" xr:uid="{5CE74065-7DB4-4E3F-B8ED-9AEACAAD911A}"/>
    <cellStyle name="Output financieel" xfId="18" xr:uid="{9E3A4A99-2FD9-47F2-92AF-AC355F201581}"/>
    <cellStyle name="Percent 2" xfId="6" xr:uid="{00000000-0005-0000-0000-000007000000}"/>
    <cellStyle name="Procent" xfId="5" builtinId="5"/>
    <cellStyle name="Slecht" xfId="19" xr:uid="{9F5A5DA7-7A2F-4745-8766-D3E1FCD41309}"/>
    <cellStyle name="Standaard" xfId="0" builtinId="0"/>
    <cellStyle name="Standaard 2" xfId="31" xr:uid="{49BCE60C-2034-4793-B9A9-6AD301A185BF}"/>
    <cellStyle name="Standaard 2 2" xfId="33" xr:uid="{929AD0F4-2672-4723-AFEA-852FF808B414}"/>
    <cellStyle name="Stijl 1" xfId="20" xr:uid="{002440B7-6B28-445D-99C6-A05D63298660}"/>
    <cellStyle name="style sheet label" xfId="21" xr:uid="{18C1FE4C-7195-4A57-AFD6-53135E91ACDC}"/>
    <cellStyle name="Table bottom" xfId="22" xr:uid="{65D88478-B4FE-414F-B0D5-879F951030DB}"/>
    <cellStyle name="Table head" xfId="23" xr:uid="{9338E79F-98DE-4EC6-9086-CDF77B7159F8}"/>
    <cellStyle name="table row" xfId="24" xr:uid="{C8A6F29A-3138-4BCF-B476-24CDCD684D13}"/>
    <cellStyle name="table_bottom_rendered_fin" xfId="25" xr:uid="{46ED2685-1A32-49EB-8BA9-A09348F77703}"/>
    <cellStyle name="test 10" xfId="26" xr:uid="{F82B0BE5-A1C7-4528-BC28-1922090B95A3}"/>
    <cellStyle name="toelichting" xfId="27" xr:uid="{4B75337F-5D3D-4B5A-B640-73914B06A25A}"/>
    <cellStyle name="Toelichting document" xfId="28" xr:uid="{70AC5FDD-3993-408A-B55E-5E62F5069552}"/>
    <cellStyle name="Top header" xfId="29" xr:uid="{C4A73867-D9E5-4124-9AEB-E3DE7DA6FD34}"/>
    <cellStyle name="warning" xfId="30" xr:uid="{5C061D1C-A412-46ED-AD91-AF9D655A0D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mruColors>
      <color rgb="FF717171"/>
      <color rgb="FFD9E1F2"/>
      <color rgb="FF4A9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Calc 1a'!$B$37"/>
</file>

<file path=xl/ctrlProps/ctrlProp2.xml><?xml version="1.0" encoding="utf-8"?>
<formControlPr xmlns="http://schemas.microsoft.com/office/spreadsheetml/2009/9/main" objectType="CheckBox" fmlaLink="'Calc 2b'!$B$37"/>
</file>

<file path=xl/ctrlProps/ctrlProp3.xml><?xml version="1.0" encoding="utf-8"?>
<formControlPr xmlns="http://schemas.microsoft.com/office/spreadsheetml/2009/9/main" objectType="CheckBox" fmlaLink="'Calc 2a'!$B$37"/>
</file>

<file path=xl/ctrlProps/ctrlProp4.xml><?xml version="1.0" encoding="utf-8"?>
<formControlPr xmlns="http://schemas.microsoft.com/office/spreadsheetml/2009/9/main" objectType="CheckBox" fmlaLink="'Calc 2a'!$A$50"/>
</file>

<file path=xl/ctrlProps/ctrlProp5.xml><?xml version="1.0" encoding="utf-8"?>
<formControlPr xmlns="http://schemas.microsoft.com/office/spreadsheetml/2009/9/main" objectType="CheckBox" fmlaLink="'Calc 2b'!$A$50"/>
</file>

<file path=xl/ctrlProps/ctrlProp6.xml><?xml version="1.0" encoding="utf-8"?>
<formControlPr xmlns="http://schemas.microsoft.com/office/spreadsheetml/2009/9/main" objectType="CheckBox" fmlaLink="'Calc 1a'!$A$50"/>
</file>

<file path=xl/ctrlProps/ctrlProp7.xml><?xml version="1.0" encoding="utf-8"?>
<formControlPr xmlns="http://schemas.microsoft.com/office/spreadsheetml/2009/9/main" objectType="CheckBox" fmlaLink="'Calc 1a'!$B$38"/>
</file>

<file path=xl/ctrlProps/ctrlProp8.xml><?xml version="1.0" encoding="utf-8"?>
<formControlPr xmlns="http://schemas.microsoft.com/office/spreadsheetml/2009/9/main" objectType="CheckBox" fmlaLink="'Calc 2a'!$B$38"/>
</file>

<file path=xl/ctrlProps/ctrlProp9.xml><?xml version="1.0" encoding="utf-8"?>
<formControlPr xmlns="http://schemas.microsoft.com/office/spreadsheetml/2009/9/main" objectType="CheckBox" fmlaLink="'Calc 2b'!$B$38"/>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24849</xdr:rowOff>
    </xdr:from>
    <xdr:to>
      <xdr:col>13</xdr:col>
      <xdr:colOff>0</xdr:colOff>
      <xdr:row>34</xdr:row>
      <xdr:rowOff>9525</xdr:rowOff>
    </xdr:to>
    <xdr:sp macro="" textlink="">
      <xdr:nvSpPr>
        <xdr:cNvPr id="3" name="Tekstvak 2">
          <a:extLst>
            <a:ext uri="{FF2B5EF4-FFF2-40B4-BE49-F238E27FC236}">
              <a16:creationId xmlns:a16="http://schemas.microsoft.com/office/drawing/2014/main" id="{00000000-0008-0000-0000-000003000000}"/>
            </a:ext>
          </a:extLst>
        </xdr:cNvPr>
        <xdr:cNvSpPr txBox="1"/>
      </xdr:nvSpPr>
      <xdr:spPr>
        <a:xfrm>
          <a:off x="342900" y="1929849"/>
          <a:ext cx="5715000" cy="6175926"/>
        </a:xfrm>
        <a:prstGeom prst="rect">
          <a:avLst/>
        </a:prstGeom>
        <a:noFill/>
        <a:ln w="9525" cmpd="sng">
          <a:noFill/>
          <a:prstDash val="dash"/>
        </a:ln>
        <a:effectLst>
          <a:glow rad="76200">
            <a:srgbClr val="D9E1F2">
              <a:alpha val="25000"/>
            </a:srgb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400">
              <a:solidFill>
                <a:srgbClr val="717171"/>
              </a:solidFill>
            </a:rPr>
            <a:t>Veel ondernemers vragen zich af of hun rechtsvorm fiscaal nog wel de juiste is. Welke belastingdruk hoort bij welke rechtsvorm?</a:t>
          </a:r>
        </a:p>
        <a:p>
          <a:endParaRPr lang="nl-NL" sz="1400">
            <a:solidFill>
              <a:srgbClr val="717171"/>
            </a:solidFill>
          </a:endParaRPr>
        </a:p>
        <a:p>
          <a:r>
            <a:rPr lang="nl-NL" sz="1400">
              <a:solidFill>
                <a:srgbClr val="717171"/>
              </a:solidFill>
              <a:latin typeface="Calibri" panose="020F0502020204030204" pitchFamily="34" charset="0"/>
              <a:cs typeface="Calibri" panose="020F0502020204030204" pitchFamily="34" charset="0"/>
            </a:rPr>
            <a:t>● </a:t>
          </a:r>
          <a:r>
            <a:rPr lang="nl-NL" sz="1400">
              <a:solidFill>
                <a:srgbClr val="717171"/>
              </a:solidFill>
            </a:rPr>
            <a:t>Eenmanszaak</a:t>
          </a:r>
        </a:p>
        <a:p>
          <a:r>
            <a:rPr lang="nl-NL" sz="1400">
              <a:solidFill>
                <a:srgbClr val="717171"/>
              </a:solidFill>
            </a:rPr>
            <a:t>● Samenwerkingsverband (vof, maatschap, etc.)</a:t>
          </a:r>
        </a:p>
        <a:p>
          <a:r>
            <a:rPr lang="nl-NL" sz="1400">
              <a:solidFill>
                <a:srgbClr val="717171"/>
              </a:solidFill>
            </a:rPr>
            <a:t>● Bv</a:t>
          </a:r>
        </a:p>
        <a:p>
          <a:endParaRPr lang="nl-NL" sz="1400">
            <a:solidFill>
              <a:srgbClr val="717171"/>
            </a:solidFill>
          </a:endParaRPr>
        </a:p>
        <a:p>
          <a:r>
            <a:rPr lang="nl-NL" sz="1400">
              <a:solidFill>
                <a:srgbClr val="717171"/>
              </a:solidFill>
            </a:rPr>
            <a:t>Met slechts een paar gegevens waarover iedere ondernemer beschikt, geeft dit rekenmodel een goede en cijfermatig onderbouwde indicatie van welke rechtsvorm het voordeligste is. In de tool zijn de belangrijkste variabelen opgenomen.</a:t>
          </a:r>
        </a:p>
        <a:p>
          <a:endParaRPr lang="nl-NL" sz="1400">
            <a:solidFill>
              <a:srgbClr val="717171"/>
            </a:solidFill>
          </a:endParaRPr>
        </a:p>
        <a:p>
          <a:r>
            <a:rPr lang="nl-NL" sz="1400" b="1">
              <a:solidFill>
                <a:srgbClr val="717171"/>
              </a:solidFill>
            </a:rPr>
            <a:t>Let op! </a:t>
          </a:r>
          <a:r>
            <a:rPr lang="nl-NL" sz="1400">
              <a:solidFill>
                <a:srgbClr val="717171"/>
              </a:solidFill>
            </a:rPr>
            <a:t>Vanaf 2024 zijn er twee tariefschijven voor de aanmerkelijkbelangheffing. In dit rekenmodel wordt bij de</a:t>
          </a:r>
          <a:r>
            <a:rPr lang="nl-NL" sz="1400" baseline="0">
              <a:solidFill>
                <a:srgbClr val="717171"/>
              </a:solidFill>
            </a:rPr>
            <a:t> latente box 2-claim uitgegaan van het hoogste tarief.</a:t>
          </a:r>
          <a:endParaRPr lang="nl-NL" sz="1400">
            <a:solidFill>
              <a:srgbClr val="717171"/>
            </a:solidFill>
          </a:endParaRPr>
        </a:p>
        <a:p>
          <a:endParaRPr lang="nl-NL" sz="1400">
            <a:solidFill>
              <a:srgbClr val="717171"/>
            </a:solidFill>
          </a:endParaRPr>
        </a:p>
        <a:p>
          <a:r>
            <a:rPr lang="nl-NL" sz="1400" b="1">
              <a:solidFill>
                <a:srgbClr val="717171"/>
              </a:solidFill>
            </a:rPr>
            <a:t>Let op! </a:t>
          </a:r>
          <a:r>
            <a:rPr lang="nl-NL" sz="1400">
              <a:solidFill>
                <a:srgbClr val="717171"/>
              </a:solidFill>
              <a:effectLst/>
              <a:latin typeface="+mn-lt"/>
              <a:ea typeface="+mn-ea"/>
              <a:cs typeface="+mn-cs"/>
            </a:rPr>
            <a:t>De zelfstandigenaftrek wordt versneld afgebouwd (met € 1.280 per jaar) van € 6.310 in 2022 naar € 900 in 2027. Per 2025 bedraagt de zelfstandigenaftrek € 2.470.</a:t>
          </a:r>
        </a:p>
        <a:p>
          <a:endParaRPr lang="nl-NL" sz="1400">
            <a:solidFill>
              <a:srgbClr val="717171"/>
            </a:solidFill>
          </a:endParaRPr>
        </a:p>
        <a:p>
          <a:r>
            <a:rPr lang="nl-NL" sz="1400" b="1">
              <a:solidFill>
                <a:srgbClr val="717171"/>
              </a:solidFill>
            </a:rPr>
            <a:t>Let op! </a:t>
          </a:r>
          <a:r>
            <a:rPr lang="nl-NL" sz="1400">
              <a:solidFill>
                <a:srgbClr val="717171"/>
              </a:solidFill>
            </a:rPr>
            <a:t>Vanaf 2023 is de mogelijkheid om te doteren aan de FOR afgeschaft. Voor een reeds opgebouwde FOR geldt overgangsrecht. Afwikkeling geschiedt</a:t>
          </a:r>
          <a:r>
            <a:rPr lang="nl-NL" sz="1400" baseline="0">
              <a:solidFill>
                <a:srgbClr val="717171"/>
              </a:solidFill>
            </a:rPr>
            <a:t> aan de hand van de regeling zoals die gold tot 1 januari 2023.</a:t>
          </a:r>
        </a:p>
        <a:p>
          <a:endParaRPr lang="nl-NL" sz="1400" baseline="0">
            <a:solidFill>
              <a:srgbClr val="71717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1">
              <a:solidFill>
                <a:srgbClr val="717171"/>
              </a:solidFill>
              <a:latin typeface="+mn-lt"/>
              <a:ea typeface="+mn-ea"/>
              <a:cs typeface="+mn-cs"/>
            </a:rPr>
            <a:t>Let op!</a:t>
          </a:r>
          <a:r>
            <a:rPr lang="nl-NL" sz="1400">
              <a:solidFill>
                <a:srgbClr val="717171"/>
              </a:solidFill>
              <a:latin typeface="+mn-lt"/>
              <a:ea typeface="+mn-ea"/>
              <a:cs typeface="+mn-cs"/>
            </a:rPr>
            <a:t> De MKB-winstvrijstelling is in 2025 verder verlaagd naar 12,7%.</a:t>
          </a:r>
        </a:p>
        <a:p>
          <a:endParaRPr lang="nl-NL" sz="1400">
            <a:solidFill>
              <a:srgbClr val="717171"/>
            </a:solidFill>
          </a:endParaRPr>
        </a:p>
      </xdr:txBody>
    </xdr:sp>
    <xdr:clientData/>
  </xdr:twoCellAnchor>
  <xdr:twoCellAnchor editAs="oneCell">
    <xdr:from>
      <xdr:col>12</xdr:col>
      <xdr:colOff>0</xdr:colOff>
      <xdr:row>39</xdr:row>
      <xdr:rowOff>0</xdr:rowOff>
    </xdr:from>
    <xdr:to>
      <xdr:col>12</xdr:col>
      <xdr:colOff>360293</xdr:colOff>
      <xdr:row>40</xdr:row>
      <xdr:rowOff>150551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11430000"/>
          <a:ext cx="360293" cy="388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0</xdr:colOff>
          <xdr:row>26</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Urencriterium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80</xdr:row>
          <xdr:rowOff>28575</xdr:rowOff>
        </xdr:from>
        <xdr:to>
          <xdr:col>2</xdr:col>
          <xdr:colOff>1847850</xdr:colOff>
          <xdr:row>81</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Urencriterium vennoot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28575</xdr:rowOff>
        </xdr:from>
        <xdr:to>
          <xdr:col>2</xdr:col>
          <xdr:colOff>1847850</xdr:colOff>
          <xdr:row>80</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Urencriterium vennoot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79</xdr:row>
          <xdr:rowOff>28575</xdr:rowOff>
        </xdr:from>
        <xdr:to>
          <xdr:col>1</xdr:col>
          <xdr:colOff>3581400</xdr:colOff>
          <xdr:row>79</xdr:row>
          <xdr:rowOff>219075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FOR vennoot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80</xdr:row>
          <xdr:rowOff>28575</xdr:rowOff>
        </xdr:from>
        <xdr:to>
          <xdr:col>1</xdr:col>
          <xdr:colOff>3581400</xdr:colOff>
          <xdr:row>81</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FOR vennoot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xdr:row>
          <xdr:rowOff>0</xdr:rowOff>
        </xdr:from>
        <xdr:to>
          <xdr:col>2</xdr:col>
          <xdr:colOff>1743075</xdr:colOff>
          <xdr:row>26</xdr:row>
          <xdr:rowOff>219075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FOR</a:t>
              </a:r>
            </a:p>
          </xdr:txBody>
        </xdr:sp>
        <xdr:clientData fLocksWithSheet="0"/>
      </xdr:twoCellAnchor>
    </mc:Choice>
    <mc:Fallback/>
  </mc:AlternateContent>
  <xdr:twoCellAnchor>
    <xdr:from>
      <xdr:col>1</xdr:col>
      <xdr:colOff>2657474</xdr:colOff>
      <xdr:row>53</xdr:row>
      <xdr:rowOff>0</xdr:rowOff>
    </xdr:from>
    <xdr:to>
      <xdr:col>4</xdr:col>
      <xdr:colOff>857249</xdr:colOff>
      <xdr:row>56</xdr:row>
      <xdr:rowOff>66675</xdr:rowOff>
    </xdr:to>
    <xdr:sp macro="" textlink="">
      <xdr:nvSpPr>
        <xdr:cNvPr id="4" name="Rectangle 3">
          <a:extLst>
            <a:ext uri="{FF2B5EF4-FFF2-40B4-BE49-F238E27FC236}">
              <a16:creationId xmlns:a16="http://schemas.microsoft.com/office/drawing/2014/main" id="{00000000-0008-0000-0100-000004000000}"/>
            </a:ext>
          </a:extLst>
        </xdr:cNvPr>
        <xdr:cNvSpPr/>
      </xdr:nvSpPr>
      <xdr:spPr bwMode="auto">
        <a:xfrm>
          <a:off x="3228974" y="12087225"/>
          <a:ext cx="5819775" cy="58102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2762249</xdr:colOff>
      <xdr:row>140</xdr:row>
      <xdr:rowOff>238124</xdr:rowOff>
    </xdr:from>
    <xdr:to>
      <xdr:col>4</xdr:col>
      <xdr:colOff>809624</xdr:colOff>
      <xdr:row>145</xdr:row>
      <xdr:rowOff>95250</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bwMode="auto">
        <a:xfrm>
          <a:off x="3333749" y="31089599"/>
          <a:ext cx="5667375" cy="781051"/>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2762249</xdr:colOff>
      <xdr:row>101</xdr:row>
      <xdr:rowOff>228599</xdr:rowOff>
    </xdr:from>
    <xdr:to>
      <xdr:col>4</xdr:col>
      <xdr:colOff>866774</xdr:colOff>
      <xdr:row>105</xdr:row>
      <xdr:rowOff>28575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bwMode="auto">
        <a:xfrm>
          <a:off x="3333749" y="22802849"/>
          <a:ext cx="5724525" cy="723901"/>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2762249</xdr:colOff>
      <xdr:row>147</xdr:row>
      <xdr:rowOff>0</xdr:rowOff>
    </xdr:from>
    <xdr:to>
      <xdr:col>4</xdr:col>
      <xdr:colOff>809624</xdr:colOff>
      <xdr:row>149</xdr:row>
      <xdr:rowOff>85725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bwMode="auto">
        <a:xfrm>
          <a:off x="3333749" y="32251650"/>
          <a:ext cx="5667375" cy="42862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2657474</xdr:colOff>
      <xdr:row>60</xdr:row>
      <xdr:rowOff>0</xdr:rowOff>
    </xdr:from>
    <xdr:to>
      <xdr:col>4</xdr:col>
      <xdr:colOff>876299</xdr:colOff>
      <xdr:row>65</xdr:row>
      <xdr:rowOff>47625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bwMode="auto">
        <a:xfrm>
          <a:off x="3228974" y="13554075"/>
          <a:ext cx="5838825" cy="90487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2762250</xdr:colOff>
      <xdr:row>109</xdr:row>
      <xdr:rowOff>9525</xdr:rowOff>
    </xdr:from>
    <xdr:to>
      <xdr:col>4</xdr:col>
      <xdr:colOff>876300</xdr:colOff>
      <xdr:row>114</xdr:row>
      <xdr:rowOff>9525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bwMode="auto">
        <a:xfrm>
          <a:off x="3333750" y="24460200"/>
          <a:ext cx="5734050" cy="857250"/>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2657475</xdr:colOff>
      <xdr:row>160</xdr:row>
      <xdr:rowOff>9525</xdr:rowOff>
    </xdr:from>
    <xdr:to>
      <xdr:col>4</xdr:col>
      <xdr:colOff>523875</xdr:colOff>
      <xdr:row>165</xdr:row>
      <xdr:rowOff>57150</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bwMode="auto">
        <a:xfrm>
          <a:off x="3038475" y="34709100"/>
          <a:ext cx="5486400" cy="90487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6</xdr:col>
      <xdr:colOff>276225</xdr:colOff>
      <xdr:row>4</xdr:row>
      <xdr:rowOff>123825</xdr:rowOff>
    </xdr:from>
    <xdr:to>
      <xdr:col>7</xdr:col>
      <xdr:colOff>57150</xdr:colOff>
      <xdr:row>5</xdr:row>
      <xdr:rowOff>123825</xdr:rowOff>
    </xdr:to>
    <xdr:sp macro="" textlink="">
      <xdr:nvSpPr>
        <xdr:cNvPr id="2" name="Ovaal 1">
          <a:extLst>
            <a:ext uri="{FF2B5EF4-FFF2-40B4-BE49-F238E27FC236}">
              <a16:creationId xmlns:a16="http://schemas.microsoft.com/office/drawing/2014/main" id="{00000000-0008-0000-0100-000002000000}"/>
            </a:ext>
          </a:extLst>
        </xdr:cNvPr>
        <xdr:cNvSpPr/>
      </xdr:nvSpPr>
      <xdr:spPr bwMode="auto">
        <a:xfrm>
          <a:off x="10563225" y="111442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304800</xdr:colOff>
      <xdr:row>5</xdr:row>
      <xdr:rowOff>142875</xdr:rowOff>
    </xdr:from>
    <xdr:to>
      <xdr:col>7</xdr:col>
      <xdr:colOff>85725</xdr:colOff>
      <xdr:row>6</xdr:row>
      <xdr:rowOff>142875</xdr:rowOff>
    </xdr:to>
    <xdr:sp macro="" textlink="">
      <xdr:nvSpPr>
        <xdr:cNvPr id="20" name="Ovaal 19">
          <a:extLst>
            <a:ext uri="{FF2B5EF4-FFF2-40B4-BE49-F238E27FC236}">
              <a16:creationId xmlns:a16="http://schemas.microsoft.com/office/drawing/2014/main" id="{00000000-0008-0000-0100-000014000000}"/>
            </a:ext>
          </a:extLst>
        </xdr:cNvPr>
        <xdr:cNvSpPr/>
      </xdr:nvSpPr>
      <xdr:spPr bwMode="auto">
        <a:xfrm>
          <a:off x="10591800" y="13620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285750</xdr:colOff>
      <xdr:row>7</xdr:row>
      <xdr:rowOff>152400</xdr:rowOff>
    </xdr:from>
    <xdr:to>
      <xdr:col>7</xdr:col>
      <xdr:colOff>66675</xdr:colOff>
      <xdr:row>8</xdr:row>
      <xdr:rowOff>152400</xdr:rowOff>
    </xdr:to>
    <xdr:sp macro="" textlink="">
      <xdr:nvSpPr>
        <xdr:cNvPr id="23" name="Ovaal 22">
          <a:extLst>
            <a:ext uri="{FF2B5EF4-FFF2-40B4-BE49-F238E27FC236}">
              <a16:creationId xmlns:a16="http://schemas.microsoft.com/office/drawing/2014/main" id="{00000000-0008-0000-0100-000017000000}"/>
            </a:ext>
          </a:extLst>
        </xdr:cNvPr>
        <xdr:cNvSpPr/>
      </xdr:nvSpPr>
      <xdr:spPr bwMode="auto">
        <a:xfrm>
          <a:off x="10572750" y="182880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295275</xdr:colOff>
      <xdr:row>9</xdr:row>
      <xdr:rowOff>142875</xdr:rowOff>
    </xdr:from>
    <xdr:to>
      <xdr:col>7</xdr:col>
      <xdr:colOff>76200</xdr:colOff>
      <xdr:row>11</xdr:row>
      <xdr:rowOff>142875</xdr:rowOff>
    </xdr:to>
    <xdr:sp macro="" textlink="">
      <xdr:nvSpPr>
        <xdr:cNvPr id="24" name="Ovaal 23">
          <a:extLst>
            <a:ext uri="{FF2B5EF4-FFF2-40B4-BE49-F238E27FC236}">
              <a16:creationId xmlns:a16="http://schemas.microsoft.com/office/drawing/2014/main" id="{00000000-0008-0000-0100-000018000000}"/>
            </a:ext>
          </a:extLst>
        </xdr:cNvPr>
        <xdr:cNvSpPr/>
      </xdr:nvSpPr>
      <xdr:spPr bwMode="auto">
        <a:xfrm>
          <a:off x="10582275" y="22764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314325</xdr:colOff>
      <xdr:row>25</xdr:row>
      <xdr:rowOff>123825</xdr:rowOff>
    </xdr:from>
    <xdr:to>
      <xdr:col>7</xdr:col>
      <xdr:colOff>95250</xdr:colOff>
      <xdr:row>26</xdr:row>
      <xdr:rowOff>152400</xdr:rowOff>
    </xdr:to>
    <xdr:sp macro="" textlink="">
      <xdr:nvSpPr>
        <xdr:cNvPr id="25" name="Ovaal 24">
          <a:extLst>
            <a:ext uri="{FF2B5EF4-FFF2-40B4-BE49-F238E27FC236}">
              <a16:creationId xmlns:a16="http://schemas.microsoft.com/office/drawing/2014/main" id="{00000000-0008-0000-0100-000019000000}"/>
            </a:ext>
          </a:extLst>
        </xdr:cNvPr>
        <xdr:cNvSpPr/>
      </xdr:nvSpPr>
      <xdr:spPr bwMode="auto">
        <a:xfrm>
          <a:off x="10601325" y="542925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304800</xdr:colOff>
      <xdr:row>27</xdr:row>
      <xdr:rowOff>152400</xdr:rowOff>
    </xdr:from>
    <xdr:to>
      <xdr:col>7</xdr:col>
      <xdr:colOff>85725</xdr:colOff>
      <xdr:row>28</xdr:row>
      <xdr:rowOff>152400</xdr:rowOff>
    </xdr:to>
    <xdr:sp macro="" textlink="">
      <xdr:nvSpPr>
        <xdr:cNvPr id="26" name="Ovaal 25">
          <a:extLst>
            <a:ext uri="{FF2B5EF4-FFF2-40B4-BE49-F238E27FC236}">
              <a16:creationId xmlns:a16="http://schemas.microsoft.com/office/drawing/2014/main" id="{00000000-0008-0000-0100-00001A000000}"/>
            </a:ext>
          </a:extLst>
        </xdr:cNvPr>
        <xdr:cNvSpPr/>
      </xdr:nvSpPr>
      <xdr:spPr bwMode="auto">
        <a:xfrm>
          <a:off x="10591800" y="588645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257175</xdr:colOff>
      <xdr:row>28</xdr:row>
      <xdr:rowOff>171450</xdr:rowOff>
    </xdr:from>
    <xdr:to>
      <xdr:col>7</xdr:col>
      <xdr:colOff>38100</xdr:colOff>
      <xdr:row>29</xdr:row>
      <xdr:rowOff>171450</xdr:rowOff>
    </xdr:to>
    <xdr:sp macro="" textlink="">
      <xdr:nvSpPr>
        <xdr:cNvPr id="27" name="Ovaal 26">
          <a:extLst>
            <a:ext uri="{FF2B5EF4-FFF2-40B4-BE49-F238E27FC236}">
              <a16:creationId xmlns:a16="http://schemas.microsoft.com/office/drawing/2014/main" id="{00000000-0008-0000-0100-00001B000000}"/>
            </a:ext>
          </a:extLst>
        </xdr:cNvPr>
        <xdr:cNvSpPr/>
      </xdr:nvSpPr>
      <xdr:spPr bwMode="auto">
        <a:xfrm>
          <a:off x="10544175" y="613410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314325</xdr:colOff>
      <xdr:row>67</xdr:row>
      <xdr:rowOff>161925</xdr:rowOff>
    </xdr:from>
    <xdr:to>
      <xdr:col>7</xdr:col>
      <xdr:colOff>95250</xdr:colOff>
      <xdr:row>68</xdr:row>
      <xdr:rowOff>190500</xdr:rowOff>
    </xdr:to>
    <xdr:sp macro="" textlink="">
      <xdr:nvSpPr>
        <xdr:cNvPr id="28" name="Ovaal 27">
          <a:extLst>
            <a:ext uri="{FF2B5EF4-FFF2-40B4-BE49-F238E27FC236}">
              <a16:creationId xmlns:a16="http://schemas.microsoft.com/office/drawing/2014/main" id="{00000000-0008-0000-0100-00001C000000}"/>
            </a:ext>
          </a:extLst>
        </xdr:cNvPr>
        <xdr:cNvSpPr/>
      </xdr:nvSpPr>
      <xdr:spPr bwMode="auto">
        <a:xfrm>
          <a:off x="10601325" y="1315402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276225</xdr:colOff>
      <xdr:row>68</xdr:row>
      <xdr:rowOff>152400</xdr:rowOff>
    </xdr:from>
    <xdr:to>
      <xdr:col>7</xdr:col>
      <xdr:colOff>57150</xdr:colOff>
      <xdr:row>69</xdr:row>
      <xdr:rowOff>180975</xdr:rowOff>
    </xdr:to>
    <xdr:sp macro="" textlink="">
      <xdr:nvSpPr>
        <xdr:cNvPr id="29" name="Ovaal 28">
          <a:extLst>
            <a:ext uri="{FF2B5EF4-FFF2-40B4-BE49-F238E27FC236}">
              <a16:creationId xmlns:a16="http://schemas.microsoft.com/office/drawing/2014/main" id="{00000000-0008-0000-0100-00001D000000}"/>
            </a:ext>
          </a:extLst>
        </xdr:cNvPr>
        <xdr:cNvSpPr/>
      </xdr:nvSpPr>
      <xdr:spPr bwMode="auto">
        <a:xfrm>
          <a:off x="10563225" y="1334452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314325</xdr:colOff>
      <xdr:row>116</xdr:row>
      <xdr:rowOff>152400</xdr:rowOff>
    </xdr:from>
    <xdr:to>
      <xdr:col>7</xdr:col>
      <xdr:colOff>95250</xdr:colOff>
      <xdr:row>117</xdr:row>
      <xdr:rowOff>180975</xdr:rowOff>
    </xdr:to>
    <xdr:sp macro="" textlink="">
      <xdr:nvSpPr>
        <xdr:cNvPr id="30" name="Ovaal 29">
          <a:extLst>
            <a:ext uri="{FF2B5EF4-FFF2-40B4-BE49-F238E27FC236}">
              <a16:creationId xmlns:a16="http://schemas.microsoft.com/office/drawing/2014/main" id="{00000000-0008-0000-0100-00001E000000}"/>
            </a:ext>
          </a:extLst>
        </xdr:cNvPr>
        <xdr:cNvSpPr/>
      </xdr:nvSpPr>
      <xdr:spPr bwMode="auto">
        <a:xfrm>
          <a:off x="10601325" y="2217420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285750</xdr:colOff>
      <xdr:row>117</xdr:row>
      <xdr:rowOff>133350</xdr:rowOff>
    </xdr:from>
    <xdr:to>
      <xdr:col>7</xdr:col>
      <xdr:colOff>66675</xdr:colOff>
      <xdr:row>118</xdr:row>
      <xdr:rowOff>161925</xdr:rowOff>
    </xdr:to>
    <xdr:sp macro="" textlink="">
      <xdr:nvSpPr>
        <xdr:cNvPr id="31" name="Ovaal 30">
          <a:extLst>
            <a:ext uri="{FF2B5EF4-FFF2-40B4-BE49-F238E27FC236}">
              <a16:creationId xmlns:a16="http://schemas.microsoft.com/office/drawing/2014/main" id="{00000000-0008-0000-0100-00001F000000}"/>
            </a:ext>
          </a:extLst>
        </xdr:cNvPr>
        <xdr:cNvSpPr/>
      </xdr:nvSpPr>
      <xdr:spPr bwMode="auto">
        <a:xfrm>
          <a:off x="10572750" y="223551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285750</xdr:colOff>
      <xdr:row>167</xdr:row>
      <xdr:rowOff>95250</xdr:rowOff>
    </xdr:from>
    <xdr:to>
      <xdr:col>7</xdr:col>
      <xdr:colOff>66675</xdr:colOff>
      <xdr:row>168</xdr:row>
      <xdr:rowOff>123825</xdr:rowOff>
    </xdr:to>
    <xdr:sp macro="" textlink="">
      <xdr:nvSpPr>
        <xdr:cNvPr id="32" name="Ovaal 31">
          <a:extLst>
            <a:ext uri="{FF2B5EF4-FFF2-40B4-BE49-F238E27FC236}">
              <a16:creationId xmlns:a16="http://schemas.microsoft.com/office/drawing/2014/main" id="{00000000-0008-0000-0100-000020000000}"/>
            </a:ext>
          </a:extLst>
        </xdr:cNvPr>
        <xdr:cNvSpPr/>
      </xdr:nvSpPr>
      <xdr:spPr bwMode="auto">
        <a:xfrm>
          <a:off x="10572750" y="3091815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295275</xdr:colOff>
      <xdr:row>168</xdr:row>
      <xdr:rowOff>133350</xdr:rowOff>
    </xdr:from>
    <xdr:to>
      <xdr:col>7</xdr:col>
      <xdr:colOff>76200</xdr:colOff>
      <xdr:row>169</xdr:row>
      <xdr:rowOff>161925</xdr:rowOff>
    </xdr:to>
    <xdr:sp macro="" textlink="">
      <xdr:nvSpPr>
        <xdr:cNvPr id="33" name="Ovaal 32">
          <a:extLst>
            <a:ext uri="{FF2B5EF4-FFF2-40B4-BE49-F238E27FC236}">
              <a16:creationId xmlns:a16="http://schemas.microsoft.com/office/drawing/2014/main" id="{00000000-0008-0000-0100-000021000000}"/>
            </a:ext>
          </a:extLst>
        </xdr:cNvPr>
        <xdr:cNvSpPr/>
      </xdr:nvSpPr>
      <xdr:spPr bwMode="auto">
        <a:xfrm>
          <a:off x="10582275" y="311562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26</xdr:row>
          <xdr:rowOff>0</xdr:rowOff>
        </xdr:from>
        <xdr:to>
          <xdr:col>5</xdr:col>
          <xdr:colOff>0</xdr:colOff>
          <xdr:row>26</xdr:row>
          <xdr:rowOff>219075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Startersaftrek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79</xdr:row>
          <xdr:rowOff>28575</xdr:rowOff>
        </xdr:from>
        <xdr:to>
          <xdr:col>4</xdr:col>
          <xdr:colOff>0</xdr:colOff>
          <xdr:row>80</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Startersaftrek vennoot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80</xdr:row>
          <xdr:rowOff>28575</xdr:rowOff>
        </xdr:from>
        <xdr:to>
          <xdr:col>4</xdr:col>
          <xdr:colOff>0</xdr:colOff>
          <xdr:row>81</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Startersaftrek vennoot 2</a:t>
              </a:r>
            </a:p>
          </xdr:txBody>
        </xdr:sp>
        <xdr:clientData fLocksWithSheet="0"/>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8A80-2AD8-4F14-846C-8E917AA22AB4}">
  <sheetPr codeName="Blad1">
    <pageSetUpPr autoPageBreaks="0"/>
  </sheetPr>
  <dimension ref="A1:R71"/>
  <sheetViews>
    <sheetView showGridLines="0" tabSelected="1" zoomScaleNormal="100" workbookViewId="0">
      <selection activeCell="B2" sqref="B2:M6"/>
    </sheetView>
  </sheetViews>
  <sheetFormatPr defaultColWidth="0" defaultRowHeight="0" customHeight="1" zeroHeight="1" x14ac:dyDescent="0.15"/>
  <cols>
    <col min="1" max="1" width="5.140625" style="155" customWidth="1"/>
    <col min="2" max="13" width="7.140625" style="155" customWidth="1"/>
    <col min="14" max="14" width="5.140625" style="155" customWidth="1"/>
    <col min="15" max="15" width="12.5703125" style="155" hidden="1" customWidth="1"/>
    <col min="16" max="18" width="0" style="155" hidden="1" customWidth="1"/>
    <col min="19" max="16384" width="9.140625" style="155" hidden="1"/>
  </cols>
  <sheetData>
    <row r="1" spans="2:13" ht="18.75" x14ac:dyDescent="0.15"/>
    <row r="2" spans="2:13" ht="18.75" customHeight="1" x14ac:dyDescent="0.15">
      <c r="B2" s="212" t="s">
        <v>103</v>
      </c>
      <c r="C2" s="212"/>
      <c r="D2" s="212"/>
      <c r="E2" s="212"/>
      <c r="F2" s="212"/>
      <c r="G2" s="212"/>
      <c r="H2" s="212"/>
      <c r="I2" s="212"/>
      <c r="J2" s="212"/>
      <c r="K2" s="212"/>
      <c r="L2" s="212"/>
      <c r="M2" s="212"/>
    </row>
    <row r="3" spans="2:13" ht="18.75" customHeight="1" x14ac:dyDescent="0.15">
      <c r="B3" s="212"/>
      <c r="C3" s="212"/>
      <c r="D3" s="212"/>
      <c r="E3" s="212"/>
      <c r="F3" s="212"/>
      <c r="G3" s="212"/>
      <c r="H3" s="212"/>
      <c r="I3" s="212"/>
      <c r="J3" s="212"/>
      <c r="K3" s="212"/>
      <c r="L3" s="212"/>
      <c r="M3" s="212"/>
    </row>
    <row r="4" spans="2:13" s="156" customFormat="1" ht="18.75" customHeight="1" x14ac:dyDescent="0.15">
      <c r="B4" s="212"/>
      <c r="C4" s="212"/>
      <c r="D4" s="212"/>
      <c r="E4" s="212"/>
      <c r="F4" s="212"/>
      <c r="G4" s="212"/>
      <c r="H4" s="212"/>
      <c r="I4" s="212"/>
      <c r="J4" s="212"/>
      <c r="K4" s="212"/>
      <c r="L4" s="212"/>
      <c r="M4" s="212"/>
    </row>
    <row r="5" spans="2:13" ht="18.75" customHeight="1" x14ac:dyDescent="0.15">
      <c r="B5" s="212"/>
      <c r="C5" s="212"/>
      <c r="D5" s="212"/>
      <c r="E5" s="212"/>
      <c r="F5" s="212"/>
      <c r="G5" s="212"/>
      <c r="H5" s="212"/>
      <c r="I5" s="212"/>
      <c r="J5" s="212"/>
      <c r="K5" s="212"/>
      <c r="L5" s="212"/>
      <c r="M5" s="212"/>
    </row>
    <row r="6" spans="2:13" ht="18.75" customHeight="1" x14ac:dyDescent="0.15">
      <c r="B6" s="212"/>
      <c r="C6" s="212"/>
      <c r="D6" s="212"/>
      <c r="E6" s="212"/>
      <c r="F6" s="212"/>
      <c r="G6" s="212"/>
      <c r="H6" s="212"/>
      <c r="I6" s="212"/>
      <c r="J6" s="212"/>
      <c r="K6" s="212"/>
      <c r="L6" s="212"/>
      <c r="M6" s="212"/>
    </row>
    <row r="7" spans="2:13" ht="18.75" customHeight="1" x14ac:dyDescent="0.15"/>
    <row r="8" spans="2:13" ht="18.75" x14ac:dyDescent="0.15"/>
    <row r="9" spans="2:13" ht="18.75" x14ac:dyDescent="0.15"/>
    <row r="10" spans="2:13" ht="18.75" x14ac:dyDescent="0.15"/>
    <row r="11" spans="2:13" ht="18.75" x14ac:dyDescent="0.15"/>
    <row r="12" spans="2:13" ht="18.75" x14ac:dyDescent="0.15"/>
    <row r="13" spans="2:13" ht="18.75" x14ac:dyDescent="0.15"/>
    <row r="14" spans="2:13" ht="18.75" x14ac:dyDescent="0.15"/>
    <row r="15" spans="2:13" ht="18.75" x14ac:dyDescent="0.15"/>
    <row r="16" spans="2:13" ht="18.75" x14ac:dyDescent="0.15"/>
    <row r="17" s="155" customFormat="1" ht="18.75" x14ac:dyDescent="0.15"/>
    <row r="18" s="155" customFormat="1" ht="18.75" x14ac:dyDescent="0.15"/>
    <row r="19" s="155" customFormat="1" ht="18.75" x14ac:dyDescent="0.15"/>
    <row r="20" s="155" customFormat="1" ht="18.75" x14ac:dyDescent="0.15"/>
    <row r="21" s="155" customFormat="1" ht="18.75" x14ac:dyDescent="0.15"/>
    <row r="22" s="155" customFormat="1" ht="18.75" x14ac:dyDescent="0.15"/>
    <row r="23" s="155" customFormat="1" ht="18.75" x14ac:dyDescent="0.15"/>
    <row r="24" s="155" customFormat="1" ht="18.75" x14ac:dyDescent="0.15"/>
    <row r="25" s="155" customFormat="1" ht="18.75" x14ac:dyDescent="0.15"/>
    <row r="26" s="155" customFormat="1" ht="18.75" x14ac:dyDescent="0.15"/>
    <row r="27" s="155" customFormat="1" ht="18.75" x14ac:dyDescent="0.15"/>
    <row r="28" s="155" customFormat="1" ht="18.75" x14ac:dyDescent="0.15"/>
    <row r="29" s="155" customFormat="1" ht="18.75" x14ac:dyDescent="0.15"/>
    <row r="30" s="155" customFormat="1" ht="18.75" x14ac:dyDescent="0.15"/>
    <row r="31" s="155" customFormat="1" ht="18.75" customHeight="1" x14ac:dyDescent="0.15"/>
    <row r="32" s="155" customFormat="1" ht="18.75" x14ac:dyDescent="0.15"/>
    <row r="33" spans="2:14" ht="18.75" x14ac:dyDescent="0.15"/>
    <row r="34" spans="2:14" ht="18.75" x14ac:dyDescent="0.15"/>
    <row r="35" spans="2:14" ht="18.75" customHeight="1" x14ac:dyDescent="0.15">
      <c r="B35" s="213" t="s">
        <v>116</v>
      </c>
      <c r="C35" s="213"/>
      <c r="D35" s="213"/>
      <c r="E35" s="213"/>
      <c r="F35" s="213"/>
      <c r="G35" s="213"/>
      <c r="H35" s="157"/>
      <c r="I35" s="157"/>
      <c r="J35" s="157"/>
      <c r="K35" s="157"/>
      <c r="L35" s="157"/>
      <c r="M35" s="157"/>
    </row>
    <row r="36" spans="2:14" ht="18.75" customHeight="1" x14ac:dyDescent="0.15">
      <c r="B36" s="213"/>
      <c r="C36" s="213"/>
      <c r="D36" s="213"/>
      <c r="E36" s="213"/>
      <c r="F36" s="213"/>
      <c r="G36" s="213"/>
      <c r="H36" s="158"/>
      <c r="I36" s="159"/>
      <c r="J36" s="159"/>
      <c r="K36" s="159"/>
      <c r="L36" s="159"/>
      <c r="M36" s="159"/>
      <c r="N36" s="160"/>
    </row>
    <row r="37" spans="2:14" ht="18.75" x14ac:dyDescent="0.15">
      <c r="B37" s="158"/>
      <c r="C37" s="161"/>
      <c r="D37" s="158"/>
      <c r="E37" s="158"/>
      <c r="F37" s="158"/>
      <c r="G37" s="158"/>
      <c r="H37" s="158"/>
      <c r="I37" s="159"/>
      <c r="J37" s="159"/>
      <c r="K37" s="159"/>
      <c r="L37" s="159"/>
      <c r="M37" s="159"/>
      <c r="N37" s="160"/>
    </row>
    <row r="38" spans="2:14" ht="18.75" x14ac:dyDescent="0.15">
      <c r="B38" s="214">
        <v>45671</v>
      </c>
      <c r="C38" s="214"/>
      <c r="D38" s="214"/>
      <c r="E38" s="214"/>
      <c r="F38" s="215" t="s">
        <v>134</v>
      </c>
      <c r="G38" s="215"/>
      <c r="H38" s="215"/>
      <c r="I38" s="215"/>
      <c r="J38" s="215"/>
      <c r="K38" s="215"/>
      <c r="L38" s="215"/>
      <c r="M38" s="215"/>
      <c r="N38" s="160"/>
    </row>
    <row r="39" spans="2:14" ht="18.75" x14ac:dyDescent="0.15"/>
    <row r="40" spans="2:14" ht="18.75" x14ac:dyDescent="0.15"/>
    <row r="41" spans="2:14" ht="18.75" x14ac:dyDescent="0.15"/>
    <row r="42" spans="2:14" ht="18.75" x14ac:dyDescent="0.15"/>
    <row r="43" spans="2:14" ht="18.75" hidden="1" x14ac:dyDescent="0.15"/>
    <row r="44" spans="2:14" ht="18.75" hidden="1" x14ac:dyDescent="0.15"/>
    <row r="45" spans="2:14" ht="18.75" hidden="1" x14ac:dyDescent="0.15"/>
    <row r="46" spans="2:14" ht="18.75" hidden="1" x14ac:dyDescent="0.15"/>
    <row r="47" spans="2:14" ht="18.75" hidden="1" x14ac:dyDescent="0.15"/>
    <row r="48" spans="2:14" ht="18.75" hidden="1" x14ac:dyDescent="0.15"/>
    <row r="49" ht="18.75" hidden="1" x14ac:dyDescent="0.15"/>
    <row r="50" ht="18.75" hidden="1" x14ac:dyDescent="0.15"/>
    <row r="51" ht="18.75" hidden="1" x14ac:dyDescent="0.15"/>
    <row r="52" ht="18.75" hidden="1" x14ac:dyDescent="0.15"/>
    <row r="53" ht="18.75" hidden="1" x14ac:dyDescent="0.15"/>
    <row r="54" ht="18.75" hidden="1" x14ac:dyDescent="0.15"/>
    <row r="55" ht="18.75" hidden="1" x14ac:dyDescent="0.15"/>
    <row r="56" ht="18.75" hidden="1" x14ac:dyDescent="0.15"/>
    <row r="57" ht="18.75" hidden="1" x14ac:dyDescent="0.15"/>
    <row r="58" ht="18.75" hidden="1" x14ac:dyDescent="0.15"/>
    <row r="59" ht="18.75" hidden="1" x14ac:dyDescent="0.15"/>
    <row r="60" ht="18.75" hidden="1" x14ac:dyDescent="0.15"/>
    <row r="61" ht="18.75" hidden="1" x14ac:dyDescent="0.15"/>
    <row r="62" ht="18.75" hidden="1" x14ac:dyDescent="0.15"/>
    <row r="63" ht="18.75" hidden="1" x14ac:dyDescent="0.15"/>
    <row r="64" ht="18.75" hidden="1" x14ac:dyDescent="0.15"/>
    <row r="65" ht="18.75" hidden="1" x14ac:dyDescent="0.15"/>
    <row r="66" ht="18.75" hidden="1" x14ac:dyDescent="0.15"/>
    <row r="67" ht="18.75" hidden="1" x14ac:dyDescent="0.15"/>
    <row r="68" ht="18.75" hidden="1" x14ac:dyDescent="0.15"/>
    <row r="69" ht="18.75" hidden="1" x14ac:dyDescent="0.15"/>
    <row r="70" ht="18.75" hidden="1" x14ac:dyDescent="0.15"/>
    <row r="71" ht="18.75" hidden="1" x14ac:dyDescent="0.15"/>
  </sheetData>
  <sheetProtection sheet="1" objects="1" scenarios="1"/>
  <mergeCells count="4">
    <mergeCell ref="B2:M6"/>
    <mergeCell ref="B35:G36"/>
    <mergeCell ref="B38:E38"/>
    <mergeCell ref="F38:M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I176"/>
  <sheetViews>
    <sheetView showGridLines="0" zoomScaleNormal="100" workbookViewId="0">
      <selection activeCell="E5" sqref="E5"/>
    </sheetView>
  </sheetViews>
  <sheetFormatPr defaultColWidth="9.140625" defaultRowHeight="15.95" customHeight="1" x14ac:dyDescent="0.15"/>
  <cols>
    <col min="1" max="1" width="6" style="1" customWidth="1"/>
    <col min="2" max="2" width="60.42578125" style="1" customWidth="1"/>
    <col min="3" max="3" width="31.85546875" style="1" customWidth="1"/>
    <col min="4" max="5" width="28.5703125" style="1" customWidth="1"/>
    <col min="6" max="6" width="5.7109375" style="1" customWidth="1"/>
    <col min="7" max="7" width="5.7109375" style="86" customWidth="1"/>
    <col min="8" max="8" width="2.85546875" style="1" customWidth="1"/>
    <col min="9" max="9" width="85.7109375" style="1" customWidth="1"/>
    <col min="10" max="35" width="5.7109375" style="1" customWidth="1"/>
    <col min="36" max="16384" width="9.140625" style="1"/>
  </cols>
  <sheetData>
    <row r="1" spans="1:9" ht="37.5" customHeight="1" x14ac:dyDescent="0.15">
      <c r="A1" s="147"/>
      <c r="G1" s="83"/>
    </row>
    <row r="2" spans="1:9" ht="31.5" x14ac:dyDescent="0.15">
      <c r="B2" s="217" t="str">
        <f>voorblad!B2</f>
        <v>Welke rechtsvorm is fiscaal het voordeligst?</v>
      </c>
      <c r="C2" s="217"/>
      <c r="D2" s="217"/>
      <c r="E2" s="217"/>
      <c r="F2" s="84"/>
      <c r="G2" s="85"/>
      <c r="I2" s="94"/>
    </row>
    <row r="3" spans="1:9" ht="46.5" x14ac:dyDescent="0.3">
      <c r="B3" s="90"/>
      <c r="C3" s="90"/>
      <c r="D3" s="90"/>
      <c r="E3" s="90"/>
      <c r="F3" s="84"/>
      <c r="G3" s="85"/>
      <c r="I3" s="131" t="s">
        <v>120</v>
      </c>
    </row>
    <row r="4" spans="1:9" ht="22.5" customHeight="1" x14ac:dyDescent="0.35">
      <c r="B4" s="149" t="s">
        <v>117</v>
      </c>
      <c r="I4" s="132"/>
    </row>
    <row r="5" spans="1:9" ht="18" customHeight="1" x14ac:dyDescent="0.15">
      <c r="B5" s="216" t="s">
        <v>107</v>
      </c>
      <c r="C5" s="216"/>
      <c r="E5" s="165">
        <v>2025</v>
      </c>
      <c r="G5" s="87"/>
      <c r="I5" s="152" t="str">
        <f ca="1">IF(E5&gt;YEAR(TODAY()),"Toekomstige bedragen en tarieven zijn op basis van het Belastingplan","")</f>
        <v/>
      </c>
    </row>
    <row r="6" spans="1:9" ht="18" customHeight="1" x14ac:dyDescent="0.15">
      <c r="B6" s="216" t="s">
        <v>17</v>
      </c>
      <c r="C6" s="216"/>
      <c r="E6" s="164">
        <v>0</v>
      </c>
      <c r="G6" s="88" t="s">
        <v>31</v>
      </c>
      <c r="I6" s="132"/>
    </row>
    <row r="7" spans="1:9" ht="18" customHeight="1" x14ac:dyDescent="0.15">
      <c r="B7" s="216" t="s">
        <v>2</v>
      </c>
      <c r="C7" s="216"/>
      <c r="E7" s="164">
        <v>0</v>
      </c>
      <c r="G7" s="88" t="s">
        <v>31</v>
      </c>
      <c r="I7" s="132"/>
    </row>
    <row r="8" spans="1:9" ht="18" customHeight="1" x14ac:dyDescent="0.15">
      <c r="B8" s="216" t="s">
        <v>0</v>
      </c>
      <c r="C8" s="216"/>
      <c r="E8" s="164">
        <v>0</v>
      </c>
      <c r="I8" s="132"/>
    </row>
    <row r="9" spans="1:9" ht="18" customHeight="1" x14ac:dyDescent="0.15">
      <c r="B9" s="216" t="s">
        <v>1</v>
      </c>
      <c r="C9" s="216"/>
      <c r="E9" s="164">
        <v>0</v>
      </c>
      <c r="G9" s="88" t="s">
        <v>31</v>
      </c>
      <c r="I9" s="132"/>
    </row>
    <row r="10" spans="1:9" ht="18" customHeight="1" x14ac:dyDescent="0.15">
      <c r="B10" s="216" t="s">
        <v>106</v>
      </c>
      <c r="C10" s="216"/>
      <c r="E10" s="166">
        <v>36526</v>
      </c>
      <c r="I10" s="132"/>
    </row>
    <row r="11" spans="1:9" ht="15.95" hidden="1" customHeight="1" x14ac:dyDescent="0.15">
      <c r="A11" s="92"/>
      <c r="B11" s="93" t="s">
        <v>3</v>
      </c>
      <c r="C11" s="94">
        <f ca="1">TODAY()</f>
        <v>45750</v>
      </c>
      <c r="D11" s="1">
        <f ca="1">YEARFRAC(E10,C11,1)</f>
        <v>25.252606086132463</v>
      </c>
      <c r="E11" s="167"/>
      <c r="I11" s="132"/>
    </row>
    <row r="12" spans="1:9" ht="18" customHeight="1" x14ac:dyDescent="0.15">
      <c r="B12" s="216" t="s">
        <v>128</v>
      </c>
      <c r="C12" s="216"/>
      <c r="E12" s="164">
        <v>0</v>
      </c>
      <c r="G12" s="88" t="s">
        <v>31</v>
      </c>
      <c r="I12" s="132"/>
    </row>
    <row r="13" spans="1:9" ht="15.95" hidden="1" customHeight="1" x14ac:dyDescent="0.15">
      <c r="E13" s="95"/>
      <c r="I13" s="132"/>
    </row>
    <row r="14" spans="1:9" ht="22.5" customHeight="1" x14ac:dyDescent="0.15">
      <c r="B14" s="91" t="s">
        <v>104</v>
      </c>
      <c r="E14" s="95"/>
      <c r="I14" s="132"/>
    </row>
    <row r="15" spans="1:9" ht="18" customHeight="1" x14ac:dyDescent="0.15">
      <c r="B15" s="216" t="s">
        <v>129</v>
      </c>
      <c r="C15" s="216"/>
      <c r="E15" s="89">
        <v>0</v>
      </c>
      <c r="I15" s="132"/>
    </row>
    <row r="16" spans="1:9" ht="18" customHeight="1" x14ac:dyDescent="0.15">
      <c r="B16" s="216" t="s">
        <v>5</v>
      </c>
      <c r="C16" s="216"/>
      <c r="E16" s="75">
        <v>0</v>
      </c>
      <c r="I16" s="132"/>
    </row>
    <row r="17" spans="2:9" ht="18" customHeight="1" x14ac:dyDescent="0.15">
      <c r="B17" s="216" t="s">
        <v>27</v>
      </c>
      <c r="C17" s="216"/>
      <c r="E17" s="75">
        <v>0.3</v>
      </c>
      <c r="I17" s="132"/>
    </row>
    <row r="18" spans="2:9" ht="18" hidden="1" customHeight="1" x14ac:dyDescent="0.15">
      <c r="B18" s="218" t="s">
        <v>33</v>
      </c>
      <c r="C18" s="218"/>
      <c r="E18" s="75">
        <v>0.33</v>
      </c>
      <c r="I18" s="132"/>
    </row>
    <row r="19" spans="2:9" ht="18" customHeight="1" x14ac:dyDescent="0.15">
      <c r="B19" s="216" t="s">
        <v>4</v>
      </c>
      <c r="C19" s="216"/>
      <c r="E19" s="190">
        <f>'Calc 1a'!H1</f>
        <v>70</v>
      </c>
      <c r="I19" s="132"/>
    </row>
    <row r="20" spans="2:9" ht="15.95" customHeight="1" x14ac:dyDescent="0.15">
      <c r="I20" s="132"/>
    </row>
    <row r="21" spans="2:9" ht="22.5" customHeight="1" x14ac:dyDescent="0.15">
      <c r="B21" s="91" t="s">
        <v>14</v>
      </c>
      <c r="C21" s="96"/>
      <c r="D21" s="96" t="s">
        <v>37</v>
      </c>
      <c r="E21" s="96" t="s">
        <v>20</v>
      </c>
      <c r="I21" s="132"/>
    </row>
    <row r="22" spans="2:9" ht="15.95" customHeight="1" x14ac:dyDescent="0.15">
      <c r="B22" s="97" t="s">
        <v>105</v>
      </c>
      <c r="C22" s="125" t="s">
        <v>36</v>
      </c>
      <c r="D22" s="126">
        <f ca="1">+E74</f>
        <v>0</v>
      </c>
      <c r="E22" s="127" t="str">
        <f>+E76</f>
        <v>nvt</v>
      </c>
      <c r="I22" s="132"/>
    </row>
    <row r="23" spans="2:9" ht="15.95" customHeight="1" x14ac:dyDescent="0.15">
      <c r="C23" s="125" t="s">
        <v>40</v>
      </c>
      <c r="D23" s="126">
        <f ca="1">+E121</f>
        <v>0</v>
      </c>
      <c r="E23" s="127" t="str">
        <f>+E123</f>
        <v>nvt</v>
      </c>
      <c r="I23" s="132"/>
    </row>
    <row r="24" spans="2:9" ht="15.95" customHeight="1" x14ac:dyDescent="0.15">
      <c r="C24" s="125" t="s">
        <v>130</v>
      </c>
      <c r="D24" s="126">
        <f ca="1">+E174</f>
        <v>0</v>
      </c>
      <c r="E24" s="127" t="str">
        <f>+E176</f>
        <v>nvt</v>
      </c>
      <c r="I24" s="132"/>
    </row>
    <row r="25" spans="2:9" ht="15.95" customHeight="1" x14ac:dyDescent="0.15">
      <c r="I25" s="132"/>
    </row>
    <row r="26" spans="2:9" ht="30" customHeight="1" x14ac:dyDescent="0.15">
      <c r="B26" s="91" t="s">
        <v>108</v>
      </c>
      <c r="I26" s="132"/>
    </row>
    <row r="27" spans="2:9" ht="18.75" customHeight="1" x14ac:dyDescent="0.15">
      <c r="B27" s="79"/>
      <c r="C27" s="77"/>
      <c r="D27" s="77"/>
      <c r="E27" s="80"/>
      <c r="G27" s="88" t="s">
        <v>31</v>
      </c>
      <c r="I27" s="132"/>
    </row>
    <row r="28" spans="2:9" ht="18.75" customHeight="1" x14ac:dyDescent="0.15">
      <c r="B28" s="81" t="s">
        <v>109</v>
      </c>
      <c r="E28" s="162">
        <v>36526</v>
      </c>
      <c r="I28" s="132"/>
    </row>
    <row r="29" spans="2:9" ht="18.75" customHeight="1" x14ac:dyDescent="0.15">
      <c r="B29" s="81" t="s">
        <v>110</v>
      </c>
      <c r="E29" s="163"/>
      <c r="G29" s="88" t="s">
        <v>31</v>
      </c>
      <c r="I29" s="132"/>
    </row>
    <row r="30" spans="2:9" ht="18.75" customHeight="1" x14ac:dyDescent="0.15">
      <c r="B30" s="81" t="s">
        <v>111</v>
      </c>
      <c r="E30" s="164">
        <v>0</v>
      </c>
      <c r="G30" s="88" t="s">
        <v>31</v>
      </c>
      <c r="I30" s="132"/>
    </row>
    <row r="31" spans="2:9" ht="18.75" customHeight="1" x14ac:dyDescent="0.15">
      <c r="B31" s="98"/>
      <c r="E31" s="99"/>
      <c r="I31" s="132"/>
    </row>
    <row r="32" spans="2:9" ht="18.75" customHeight="1" x14ac:dyDescent="0.15">
      <c r="B32" s="98" t="s">
        <v>17</v>
      </c>
      <c r="E32" s="122">
        <f>'1'!E6</f>
        <v>0</v>
      </c>
      <c r="I32" s="132"/>
    </row>
    <row r="33" spans="2:9" ht="18.75" customHeight="1" x14ac:dyDescent="0.15">
      <c r="B33" s="98" t="s">
        <v>2</v>
      </c>
      <c r="E33" s="122">
        <f>'1'!E7</f>
        <v>0</v>
      </c>
      <c r="I33" s="132"/>
    </row>
    <row r="34" spans="2:9" ht="18.75" customHeight="1" x14ac:dyDescent="0.15">
      <c r="B34" s="98" t="s">
        <v>21</v>
      </c>
      <c r="E34" s="122">
        <f>-IF(E30&gt;=5000,E30,0)</f>
        <v>0</v>
      </c>
      <c r="I34" s="132"/>
    </row>
    <row r="35" spans="2:9" ht="18.75" customHeight="1" x14ac:dyDescent="0.15">
      <c r="B35" s="100" t="s">
        <v>25</v>
      </c>
      <c r="C35" s="101"/>
      <c r="D35" s="101"/>
      <c r="E35" s="123">
        <f>E32+E33+E34</f>
        <v>0</v>
      </c>
      <c r="I35" s="132"/>
    </row>
    <row r="36" spans="2:9" ht="18.75" customHeight="1" x14ac:dyDescent="0.15">
      <c r="B36" s="102"/>
      <c r="E36" s="103"/>
      <c r="I36" s="132"/>
    </row>
    <row r="37" spans="2:9" ht="18.75" customHeight="1" x14ac:dyDescent="0.15">
      <c r="B37" s="98" t="str">
        <f>IF('Calc 1a'!B38,"Zelfstandigenaftrek en startersaftrek","Zelfstandigenaftrek")</f>
        <v>Zelfstandigenaftrek</v>
      </c>
      <c r="E37" s="122">
        <f>-(1*'Calc 1a'!D37+'Calc 1a'!D38)</f>
        <v>0</v>
      </c>
      <c r="I37" s="132"/>
    </row>
    <row r="38" spans="2:9" ht="18.75" customHeight="1" x14ac:dyDescent="0.15">
      <c r="B38" s="98" t="s">
        <v>133</v>
      </c>
      <c r="E38" s="122">
        <f>-1*'Calc 1a'!D50</f>
        <v>0</v>
      </c>
      <c r="I38" s="132"/>
    </row>
    <row r="39" spans="2:9" ht="18.75" customHeight="1" x14ac:dyDescent="0.15">
      <c r="B39" s="98" t="s">
        <v>12</v>
      </c>
      <c r="E39" s="122">
        <f>-1*'Calc 1a'!D40</f>
        <v>0</v>
      </c>
      <c r="I39" s="132"/>
    </row>
    <row r="40" spans="2:9" ht="18.75" customHeight="1" x14ac:dyDescent="0.15">
      <c r="B40" s="98" t="s">
        <v>19</v>
      </c>
      <c r="E40" s="122">
        <f>IF(AND(E30&lt;5001,E29&gt;524),-1*'Calc 1a'!D59,0)</f>
        <v>0</v>
      </c>
      <c r="I40" s="132"/>
    </row>
    <row r="41" spans="2:9" ht="18.75" customHeight="1" x14ac:dyDescent="0.15">
      <c r="B41" s="98" t="s">
        <v>123</v>
      </c>
      <c r="E41" s="150">
        <v>0</v>
      </c>
      <c r="I41" s="132"/>
    </row>
    <row r="42" spans="2:9" ht="18.75" customHeight="1" x14ac:dyDescent="0.15">
      <c r="B42" s="98" t="s">
        <v>122</v>
      </c>
      <c r="E42" s="150">
        <v>0</v>
      </c>
      <c r="I42" s="132"/>
    </row>
    <row r="43" spans="2:9" ht="18.75" customHeight="1" x14ac:dyDescent="0.15">
      <c r="B43" s="100" t="s">
        <v>18</v>
      </c>
      <c r="C43" s="101"/>
      <c r="D43" s="101"/>
      <c r="E43" s="123">
        <f>SUM(E37:E42)</f>
        <v>0</v>
      </c>
      <c r="I43" s="132"/>
    </row>
    <row r="44" spans="2:9" ht="18.75" customHeight="1" x14ac:dyDescent="0.15">
      <c r="B44" s="102"/>
      <c r="E44" s="103"/>
      <c r="I44" s="132"/>
    </row>
    <row r="45" spans="2:9" ht="18.75" customHeight="1" x14ac:dyDescent="0.15">
      <c r="B45" s="98" t="s">
        <v>6</v>
      </c>
      <c r="E45" s="122">
        <f>'Calc 1a'!D52</f>
        <v>0</v>
      </c>
      <c r="I45" s="132"/>
    </row>
    <row r="46" spans="2:9" ht="18.75" customHeight="1" x14ac:dyDescent="0.15">
      <c r="B46" s="98" t="s">
        <v>1</v>
      </c>
      <c r="E46" s="122">
        <f>-'1'!E9</f>
        <v>0</v>
      </c>
      <c r="I46" s="132"/>
    </row>
    <row r="47" spans="2:9" ht="18.75" customHeight="1" x14ac:dyDescent="0.15">
      <c r="B47" s="100" t="s">
        <v>23</v>
      </c>
      <c r="C47" s="101"/>
      <c r="D47" s="101"/>
      <c r="E47" s="123">
        <f>E45+E46</f>
        <v>0</v>
      </c>
      <c r="I47" s="132"/>
    </row>
    <row r="48" spans="2:9" ht="18.75" customHeight="1" x14ac:dyDescent="0.15">
      <c r="B48" s="102"/>
      <c r="E48" s="103"/>
      <c r="I48" s="132"/>
    </row>
    <row r="49" spans="2:9" ht="18.75" customHeight="1" x14ac:dyDescent="0.15">
      <c r="B49" s="98" t="s">
        <v>22</v>
      </c>
      <c r="E49" s="122">
        <f>E35+E43+E47</f>
        <v>0</v>
      </c>
      <c r="I49" s="132"/>
    </row>
    <row r="50" spans="2:9" ht="18.75" customHeight="1" x14ac:dyDescent="0.15">
      <c r="B50" s="81" t="s">
        <v>34</v>
      </c>
      <c r="E50" s="122">
        <f>IF(E30&lt;5001,0,E30)</f>
        <v>0</v>
      </c>
      <c r="I50" s="132"/>
    </row>
    <row r="51" spans="2:9" ht="18.75" customHeight="1" x14ac:dyDescent="0.15">
      <c r="B51" s="100" t="s">
        <v>13</v>
      </c>
      <c r="C51" s="101"/>
      <c r="D51" s="101"/>
      <c r="E51" s="123">
        <f>E49+E50</f>
        <v>0</v>
      </c>
      <c r="I51" s="132"/>
    </row>
    <row r="52" spans="2:9" ht="18.75" customHeight="1" x14ac:dyDescent="0.15">
      <c r="B52" s="102"/>
      <c r="E52" s="103"/>
      <c r="I52" s="132"/>
    </row>
    <row r="53" spans="2:9" ht="18.75" customHeight="1" x14ac:dyDescent="0.15">
      <c r="B53" s="98" t="s">
        <v>14</v>
      </c>
      <c r="C53" s="104"/>
      <c r="E53" s="122">
        <f ca="1">'Calc 1a'!D12</f>
        <v>0</v>
      </c>
      <c r="I53" s="132"/>
    </row>
    <row r="54" spans="2:9" ht="13.5" customHeight="1" x14ac:dyDescent="0.15">
      <c r="B54" s="134" t="s">
        <v>51</v>
      </c>
      <c r="C54" s="139">
        <f>IF(E49&gt;'Calc 1a'!B8,'Calc 1a'!B8,E49)+MAX(IF($E$49&gt;'Calc 1a'!B9,('Calc 1a'!B9-'Calc 1a'!B8),($E$49-'Calc 1a'!B8)),0)</f>
        <v>0</v>
      </c>
      <c r="D54" s="140">
        <f ca="1">'Calc 1a'!C8</f>
        <v>0.35820000000000002</v>
      </c>
      <c r="E54" s="141">
        <f ca="1">C54*D54</f>
        <v>0</v>
      </c>
      <c r="I54" s="132"/>
    </row>
    <row r="55" spans="2:9" ht="13.5" customHeight="1" x14ac:dyDescent="0.15">
      <c r="B55" s="134" t="s">
        <v>52</v>
      </c>
      <c r="C55" s="139">
        <f>MAX(IF($E$49&gt;'Calc 1a'!B10,('Calc 1a'!B10-'Calc 1a'!B9),($E$49-'Calc 1a'!B9)),0)</f>
        <v>0</v>
      </c>
      <c r="D55" s="140">
        <f ca="1">'Calc 1a'!C10</f>
        <v>0.37480000000000002</v>
      </c>
      <c r="E55" s="141">
        <f t="shared" ref="E55:E56" ca="1" si="0">C55*D55</f>
        <v>0</v>
      </c>
      <c r="I55" s="132"/>
    </row>
    <row r="56" spans="2:9" ht="13.5" customHeight="1" x14ac:dyDescent="0.15">
      <c r="B56" s="134" t="s">
        <v>53</v>
      </c>
      <c r="C56" s="139">
        <f>MAX(IF($E$49&gt;'Calc 1a'!B11,('Calc 1a'!B11-'Calc 1a'!B10),($E$49-'Calc 1a'!B10)),0)</f>
        <v>0</v>
      </c>
      <c r="D56" s="140">
        <f ca="1">'Calc 1a'!C11</f>
        <v>0.495</v>
      </c>
      <c r="E56" s="141">
        <f t="shared" ca="1" si="0"/>
        <v>0</v>
      </c>
      <c r="I56" s="132"/>
    </row>
    <row r="57" spans="2:9" ht="18.75" customHeight="1" x14ac:dyDescent="0.15">
      <c r="B57" s="134"/>
      <c r="C57" s="139"/>
      <c r="D57" s="140"/>
      <c r="E57" s="141"/>
      <c r="I57" s="132"/>
    </row>
    <row r="58" spans="2:9" ht="18.75" customHeight="1" x14ac:dyDescent="0.15">
      <c r="B58" s="98" t="s">
        <v>43</v>
      </c>
      <c r="E58" s="122">
        <f ca="1">-1*'Calc 1a'!D24</f>
        <v>0</v>
      </c>
      <c r="I58" s="132"/>
    </row>
    <row r="59" spans="2:9" ht="18.75" customHeight="1" x14ac:dyDescent="0.15">
      <c r="B59" s="102"/>
      <c r="E59" s="103"/>
      <c r="I59" s="132"/>
    </row>
    <row r="60" spans="2:9" ht="18.75" customHeight="1" x14ac:dyDescent="0.15">
      <c r="B60" s="98" t="s">
        <v>41</v>
      </c>
      <c r="E60" s="122">
        <f>-1*MAX('Calc 1a'!D32,0)</f>
        <v>0</v>
      </c>
      <c r="I60" s="132"/>
    </row>
    <row r="61" spans="2:9" ht="13.5" customHeight="1" x14ac:dyDescent="0.15">
      <c r="B61" s="134" t="str">
        <f>'Calc 1a'!$A$28</f>
        <v>schijf 1</v>
      </c>
      <c r="C61" s="144">
        <f>'Calc 1a'!$B$28</f>
        <v>12169</v>
      </c>
      <c r="D61" s="145">
        <f>'Calc 1a'!$C$28</f>
        <v>8.0530000000000004E-2</v>
      </c>
      <c r="E61" s="146">
        <f>'Calc 1a'!$D$28</f>
        <v>0</v>
      </c>
      <c r="I61" s="132"/>
    </row>
    <row r="62" spans="2:9" ht="13.5" customHeight="1" x14ac:dyDescent="0.15">
      <c r="B62" s="134" t="str">
        <f>'Calc 1a'!$A$29</f>
        <v>schijf 2</v>
      </c>
      <c r="C62" s="144">
        <f>'Calc 1a'!$B$29</f>
        <v>26288</v>
      </c>
      <c r="D62" s="145">
        <f>'Calc 1a'!$C$29</f>
        <v>0.30030000000000001</v>
      </c>
      <c r="E62" s="146">
        <f>'Calc 1a'!$D$29</f>
        <v>0</v>
      </c>
      <c r="I62" s="132"/>
    </row>
    <row r="63" spans="2:9" ht="13.5" customHeight="1" x14ac:dyDescent="0.15">
      <c r="B63" s="134" t="str">
        <f>'Calc 1a'!$A$30</f>
        <v>schijf 3</v>
      </c>
      <c r="C63" s="144">
        <f>'Calc 1a'!$B$30</f>
        <v>43071</v>
      </c>
      <c r="D63" s="145">
        <f>'Calc 1a'!$C$30</f>
        <v>2.2579999999999999E-2</v>
      </c>
      <c r="E63" s="146">
        <f>'Calc 1a'!$D$30</f>
        <v>0</v>
      </c>
      <c r="I63" s="132"/>
    </row>
    <row r="64" spans="2:9" ht="13.5" customHeight="1" x14ac:dyDescent="0.15">
      <c r="B64" s="134" t="str">
        <f>'Calc 1a'!$A$31</f>
        <v>schijf 4</v>
      </c>
      <c r="C64" s="144">
        <f>'Calc 1a'!$B$31</f>
        <v>129078</v>
      </c>
      <c r="D64" s="145">
        <f>'Calc 1a'!$C$31</f>
        <v>-6.5100000000000005E-2</v>
      </c>
      <c r="E64" s="146">
        <f>'Calc 1a'!$D$31</f>
        <v>0</v>
      </c>
      <c r="I64" s="132"/>
    </row>
    <row r="65" spans="2:9" ht="13.5" customHeight="1" x14ac:dyDescent="0.15">
      <c r="B65" s="134" t="str">
        <f>'Calc 1a'!$A$32</f>
        <v>Max/Min</v>
      </c>
      <c r="C65" s="144">
        <f>'Calc 1a'!$B$32</f>
        <v>5599</v>
      </c>
      <c r="D65" s="144">
        <f>'Calc 1a'!$C$32</f>
        <v>0</v>
      </c>
      <c r="E65" s="146">
        <f>'Calc 1a'!$D$32</f>
        <v>0</v>
      </c>
      <c r="I65" s="132"/>
    </row>
    <row r="66" spans="2:9" ht="18.75" customHeight="1" x14ac:dyDescent="0.15">
      <c r="B66" s="134"/>
      <c r="C66" s="144"/>
      <c r="D66" s="144"/>
      <c r="E66" s="146"/>
      <c r="I66" s="132"/>
    </row>
    <row r="67" spans="2:9" ht="18.75" customHeight="1" x14ac:dyDescent="0.15">
      <c r="B67" s="98" t="str">
        <f>"Correctie ivm tarief aftrekposten ("&amp;TEXT('Calc 1a'!B35,"#,#%")&amp;")"</f>
        <v>Correctie ivm tarief aftrekposten (12,%)</v>
      </c>
      <c r="E67" s="122">
        <f>'Calc 1a'!D35</f>
        <v>0</v>
      </c>
      <c r="I67" s="132"/>
    </row>
    <row r="68" spans="2:9" ht="18.75" customHeight="1" x14ac:dyDescent="0.15">
      <c r="B68" s="98"/>
      <c r="E68" s="103"/>
      <c r="I68" s="132"/>
    </row>
    <row r="69" spans="2:9" ht="18.75" customHeight="1" x14ac:dyDescent="0.15">
      <c r="B69" s="98" t="s">
        <v>15</v>
      </c>
      <c r="E69" s="122">
        <f>-1*E38*'1'!E17</f>
        <v>0</v>
      </c>
      <c r="G69" s="88" t="s">
        <v>31</v>
      </c>
      <c r="I69" s="132"/>
    </row>
    <row r="70" spans="2:9" ht="18.75" customHeight="1" x14ac:dyDescent="0.15">
      <c r="B70" s="98" t="s">
        <v>24</v>
      </c>
      <c r="E70" s="122">
        <f ca="1">E69*'Calc 1a'!D65</f>
        <v>0</v>
      </c>
      <c r="G70" s="88" t="s">
        <v>31</v>
      </c>
      <c r="I70" s="132"/>
    </row>
    <row r="71" spans="2:9" ht="18.75" customHeight="1" x14ac:dyDescent="0.15">
      <c r="B71" s="98"/>
      <c r="E71" s="103"/>
      <c r="I71" s="132"/>
    </row>
    <row r="72" spans="2:9" ht="18.75" customHeight="1" x14ac:dyDescent="0.15">
      <c r="B72" s="81" t="s">
        <v>35</v>
      </c>
      <c r="E72" s="122">
        <f ca="1">MAX('Calc 1b'!D12-'Calc 1b'!D32-'Calc 1b'!D24,0)</f>
        <v>0</v>
      </c>
      <c r="I72" s="132"/>
    </row>
    <row r="73" spans="2:9" ht="18.75" customHeight="1" x14ac:dyDescent="0.15">
      <c r="B73" s="102"/>
      <c r="E73" s="103"/>
      <c r="I73" s="132"/>
    </row>
    <row r="74" spans="2:9" ht="18.75" customHeight="1" x14ac:dyDescent="0.15">
      <c r="B74" s="100" t="s">
        <v>13</v>
      </c>
      <c r="C74" s="101"/>
      <c r="D74" s="101"/>
      <c r="E74" s="123">
        <f ca="1">E53+E58+E60+E67+E72+E70</f>
        <v>0</v>
      </c>
      <c r="I74" s="132"/>
    </row>
    <row r="75" spans="2:9" ht="18.75" customHeight="1" x14ac:dyDescent="0.15">
      <c r="B75" s="102"/>
      <c r="E75" s="103"/>
      <c r="I75" s="132"/>
    </row>
    <row r="76" spans="2:9" ht="18.75" customHeight="1" x14ac:dyDescent="0.15">
      <c r="B76" s="111" t="s">
        <v>16</v>
      </c>
      <c r="C76" s="112"/>
      <c r="D76" s="112"/>
      <c r="E76" s="124" t="str">
        <f>IF(E32&gt;0,E74/E32,"nvt")</f>
        <v>nvt</v>
      </c>
      <c r="I76" s="132"/>
    </row>
    <row r="77" spans="2:9" ht="15.95" customHeight="1" x14ac:dyDescent="0.15">
      <c r="I77" s="132"/>
    </row>
    <row r="78" spans="2:9" ht="15.95" customHeight="1" x14ac:dyDescent="0.15">
      <c r="I78" s="132"/>
    </row>
    <row r="79" spans="2:9" ht="30" customHeight="1" x14ac:dyDescent="0.15">
      <c r="B79" s="91" t="s">
        <v>115</v>
      </c>
      <c r="I79" s="132"/>
    </row>
    <row r="80" spans="2:9" ht="18.75" customHeight="1" x14ac:dyDescent="0.15">
      <c r="B80" s="76" t="s">
        <v>112</v>
      </c>
      <c r="C80" s="77"/>
      <c r="D80" s="77"/>
      <c r="E80" s="168">
        <v>0.5</v>
      </c>
      <c r="I80" s="132"/>
    </row>
    <row r="81" spans="2:9" ht="18.75" customHeight="1" x14ac:dyDescent="0.15">
      <c r="B81" s="78" t="s">
        <v>113</v>
      </c>
      <c r="E81" s="169">
        <f>100%-E80</f>
        <v>0.5</v>
      </c>
      <c r="I81" s="132"/>
    </row>
    <row r="82" spans="2:9" ht="18.75" customHeight="1" x14ac:dyDescent="0.15">
      <c r="B82" s="78" t="s">
        <v>114</v>
      </c>
      <c r="E82" s="162">
        <f>E28</f>
        <v>36526</v>
      </c>
      <c r="I82" s="132"/>
    </row>
    <row r="83" spans="2:9" ht="18.75" customHeight="1" x14ac:dyDescent="0.15">
      <c r="B83" s="81"/>
      <c r="E83" s="99"/>
      <c r="I83" s="132"/>
    </row>
    <row r="84" spans="2:9" ht="18.75" customHeight="1" x14ac:dyDescent="0.15">
      <c r="B84" s="98"/>
      <c r="C84" s="113" t="s">
        <v>39</v>
      </c>
      <c r="D84" s="113" t="s">
        <v>38</v>
      </c>
      <c r="E84" s="114" t="s">
        <v>13</v>
      </c>
      <c r="I84" s="132"/>
    </row>
    <row r="85" spans="2:9" ht="18.75" customHeight="1" x14ac:dyDescent="0.15">
      <c r="B85" s="98" t="s">
        <v>17</v>
      </c>
      <c r="C85" s="128">
        <f>E80*E6</f>
        <v>0</v>
      </c>
      <c r="D85" s="128">
        <f>E81*E6</f>
        <v>0</v>
      </c>
      <c r="E85" s="122">
        <f>C85+D85</f>
        <v>0</v>
      </c>
      <c r="I85" s="132"/>
    </row>
    <row r="86" spans="2:9" ht="18.75" customHeight="1" x14ac:dyDescent="0.15">
      <c r="B86" s="98" t="s">
        <v>2</v>
      </c>
      <c r="C86" s="128">
        <f>E7</f>
        <v>0</v>
      </c>
      <c r="D86" s="128">
        <v>0</v>
      </c>
      <c r="E86" s="122">
        <f>C86+D86</f>
        <v>0</v>
      </c>
      <c r="I86" s="132"/>
    </row>
    <row r="87" spans="2:9" ht="18.75" customHeight="1" x14ac:dyDescent="0.15">
      <c r="B87" s="100" t="s">
        <v>25</v>
      </c>
      <c r="C87" s="129">
        <f>SUM(C85:C86)</f>
        <v>0</v>
      </c>
      <c r="D87" s="129">
        <f>SUM(D85:D86)</f>
        <v>0</v>
      </c>
      <c r="E87" s="123">
        <f>SUM(E85:E86)</f>
        <v>0</v>
      </c>
      <c r="I87" s="132"/>
    </row>
    <row r="88" spans="2:9" ht="18.75" customHeight="1" x14ac:dyDescent="0.15">
      <c r="B88" s="98"/>
      <c r="C88" s="115"/>
      <c r="D88" s="104"/>
      <c r="E88" s="103"/>
      <c r="I88" s="132"/>
    </row>
    <row r="89" spans="2:9" ht="18.75" customHeight="1" x14ac:dyDescent="0.15">
      <c r="B89" s="98" t="str">
        <f>IF(OR('Calc 2a'!B38,'Calc 2b'!B38),"Zelfstandigenaftrek en startersaftrek","Zelfstandigenaftrek")</f>
        <v>Zelfstandigenaftrek</v>
      </c>
      <c r="C89" s="128">
        <f>-1*('Calc 2a'!D37+'Calc 2a'!D38)</f>
        <v>0</v>
      </c>
      <c r="D89" s="128">
        <f>-1*('Calc 2b'!D37+'Calc 2b'!D38)</f>
        <v>0</v>
      </c>
      <c r="E89" s="122">
        <f>C89+D89</f>
        <v>0</v>
      </c>
      <c r="I89" s="132"/>
    </row>
    <row r="90" spans="2:9" ht="18.75" customHeight="1" x14ac:dyDescent="0.15">
      <c r="B90" s="98" t="s">
        <v>11</v>
      </c>
      <c r="C90" s="128">
        <f>-1*'Calc 2a'!D50</f>
        <v>0</v>
      </c>
      <c r="D90" s="128">
        <f>-1*'Calc 2b'!D50</f>
        <v>0</v>
      </c>
      <c r="E90" s="122">
        <f>C90+D90</f>
        <v>0</v>
      </c>
      <c r="I90" s="132"/>
    </row>
    <row r="91" spans="2:9" ht="18.75" customHeight="1" x14ac:dyDescent="0.15">
      <c r="B91" s="98" t="s">
        <v>12</v>
      </c>
      <c r="C91" s="128">
        <f>-1*'Calc 2a'!D40</f>
        <v>0</v>
      </c>
      <c r="D91" s="128">
        <f>-1*'Calc 2b'!D40</f>
        <v>0</v>
      </c>
      <c r="E91" s="122">
        <f>C91+D91</f>
        <v>0</v>
      </c>
      <c r="I91" s="132"/>
    </row>
    <row r="92" spans="2:9" ht="18.75" customHeight="1" x14ac:dyDescent="0.15">
      <c r="B92" s="98" t="s">
        <v>124</v>
      </c>
      <c r="C92" s="151">
        <v>0</v>
      </c>
      <c r="D92" s="151">
        <v>0</v>
      </c>
      <c r="E92" s="122">
        <f t="shared" ref="E92:E93" si="1">C92+D92</f>
        <v>0</v>
      </c>
      <c r="I92" s="132"/>
    </row>
    <row r="93" spans="2:9" ht="18.75" customHeight="1" x14ac:dyDescent="0.15">
      <c r="B93" s="98" t="s">
        <v>121</v>
      </c>
      <c r="C93" s="151">
        <v>0</v>
      </c>
      <c r="D93" s="151">
        <v>0</v>
      </c>
      <c r="E93" s="122">
        <f t="shared" si="1"/>
        <v>0</v>
      </c>
      <c r="I93" s="132"/>
    </row>
    <row r="94" spans="2:9" ht="18.75" customHeight="1" x14ac:dyDescent="0.15">
      <c r="B94" s="100" t="s">
        <v>18</v>
      </c>
      <c r="C94" s="129">
        <f>SUM(C89:C93)</f>
        <v>0</v>
      </c>
      <c r="D94" s="129">
        <f>SUM(D89:D93)</f>
        <v>0</v>
      </c>
      <c r="E94" s="123">
        <f>C94+D94</f>
        <v>0</v>
      </c>
      <c r="I94" s="132"/>
    </row>
    <row r="95" spans="2:9" ht="18.75" customHeight="1" x14ac:dyDescent="0.15">
      <c r="B95" s="98"/>
      <c r="C95" s="115"/>
      <c r="D95" s="104"/>
      <c r="E95" s="103"/>
      <c r="I95" s="132"/>
    </row>
    <row r="96" spans="2:9" ht="18.75" customHeight="1" x14ac:dyDescent="0.15">
      <c r="B96" s="98" t="s">
        <v>6</v>
      </c>
      <c r="C96" s="133">
        <f>'Calc 2a'!D52</f>
        <v>0</v>
      </c>
      <c r="D96" s="128">
        <f>'Calc 2a'!D52-C96</f>
        <v>0</v>
      </c>
      <c r="E96" s="122">
        <f>C96+D96</f>
        <v>0</v>
      </c>
      <c r="I96" s="132"/>
    </row>
    <row r="97" spans="2:9" ht="18.75" customHeight="1" x14ac:dyDescent="0.15">
      <c r="B97" s="98" t="s">
        <v>1</v>
      </c>
      <c r="C97" s="133">
        <f>-1*'1'!E9</f>
        <v>0</v>
      </c>
      <c r="D97" s="128">
        <f>E9+C97</f>
        <v>0</v>
      </c>
      <c r="E97" s="122">
        <f>C97+D97</f>
        <v>0</v>
      </c>
      <c r="I97" s="132"/>
    </row>
    <row r="98" spans="2:9" ht="18.75" customHeight="1" x14ac:dyDescent="0.15">
      <c r="B98" s="100" t="s">
        <v>23</v>
      </c>
      <c r="C98" s="129">
        <f>SUM(C96:C97)</f>
        <v>0</v>
      </c>
      <c r="D98" s="129">
        <f>SUM(D96:D97)</f>
        <v>0</v>
      </c>
      <c r="E98" s="123">
        <f>C98+D98</f>
        <v>0</v>
      </c>
      <c r="I98" s="132"/>
    </row>
    <row r="99" spans="2:9" ht="18.75" customHeight="1" x14ac:dyDescent="0.15">
      <c r="B99" s="98"/>
      <c r="C99" s="115"/>
      <c r="D99" s="104"/>
      <c r="E99" s="103"/>
      <c r="I99" s="132"/>
    </row>
    <row r="100" spans="2:9" ht="18.75" customHeight="1" x14ac:dyDescent="0.15">
      <c r="B100" s="100" t="s">
        <v>22</v>
      </c>
      <c r="C100" s="129">
        <f>C87+C94+C98</f>
        <v>0</v>
      </c>
      <c r="D100" s="129">
        <f>D87+D94+D98</f>
        <v>0</v>
      </c>
      <c r="E100" s="123">
        <f>E87+E94+E98</f>
        <v>0</v>
      </c>
      <c r="I100" s="132"/>
    </row>
    <row r="101" spans="2:9" ht="18.75" customHeight="1" x14ac:dyDescent="0.15">
      <c r="B101" s="98"/>
      <c r="C101" s="115"/>
      <c r="D101" s="104"/>
      <c r="E101" s="103"/>
      <c r="I101" s="132"/>
    </row>
    <row r="102" spans="2:9" ht="18.75" customHeight="1" x14ac:dyDescent="0.15">
      <c r="B102" s="98" t="s">
        <v>14</v>
      </c>
      <c r="C102" s="128">
        <f ca="1">'Calc 2a'!D12</f>
        <v>0</v>
      </c>
      <c r="D102" s="128">
        <f ca="1">'Calc 2b'!D12</f>
        <v>0</v>
      </c>
      <c r="E102" s="122">
        <f ca="1">C102+D102</f>
        <v>0</v>
      </c>
      <c r="I102" s="132"/>
    </row>
    <row r="103" spans="2:9" ht="13.5" customHeight="1" x14ac:dyDescent="0.15">
      <c r="B103" s="142">
        <f ca="1">'Calc 2a'!C8</f>
        <v>0.35820000000000002</v>
      </c>
      <c r="C103" s="143">
        <f ca="1">B103*IF(C100&gt;'Calc 2a'!B8,'Calc 2a'!B8,C100)+(B103*MAX(IF($C$100&gt;'Calc 2a'!B9,('Calc 2a'!B9-'Calc 2a'!B8),($C$100-'Calc 2a'!B8)),0))</f>
        <v>0</v>
      </c>
      <c r="D103" s="139">
        <f ca="1">B103*IF(D100&gt;'Calc 2b'!B8,'Calc 2b'!B8,D100)+(B103*MAX(IF($D$100&gt;'Calc 2b'!B9,('Calc 2b'!B9-'Calc 2b'!B8),($D$100-'Calc 2b'!B8)),0))</f>
        <v>0</v>
      </c>
      <c r="E103" s="141">
        <f ca="1">C103+D103</f>
        <v>0</v>
      </c>
      <c r="I103" s="132"/>
    </row>
    <row r="104" spans="2:9" ht="13.5" customHeight="1" x14ac:dyDescent="0.15">
      <c r="B104" s="142">
        <f ca="1">'Calc 2a'!C10</f>
        <v>0.37480000000000002</v>
      </c>
      <c r="C104" s="143">
        <f ca="1">B104*MAX(IF($C$100&gt;'Calc 2a'!B10,('Calc 2a'!B10-'Calc 2a'!B9),($C$100-'Calc 2a'!B9)),0)</f>
        <v>0</v>
      </c>
      <c r="D104" s="139">
        <f ca="1">B104*MAX(IF($D$100&gt;'Calc 2b'!B10,('Calc 2b'!B10-'Calc 2b'!B9),($D$100-'Calc 2b'!B9)),0)</f>
        <v>0</v>
      </c>
      <c r="E104" s="141">
        <f t="shared" ref="E104:E105" ca="1" si="2">C104+D104</f>
        <v>0</v>
      </c>
      <c r="I104" s="132"/>
    </row>
    <row r="105" spans="2:9" ht="13.5" customHeight="1" x14ac:dyDescent="0.15">
      <c r="B105" s="142">
        <f ca="1">'Calc 2a'!C11</f>
        <v>0.495</v>
      </c>
      <c r="C105" s="143">
        <f ca="1">B105*MAX(IF($C$100&gt;'Calc 2a'!B11,('Calc 2a'!B11-'Calc 2a'!B10),($C$100-'Calc 2a'!B10)),0)</f>
        <v>0</v>
      </c>
      <c r="D105" s="139">
        <f ca="1">B105*MAX(IF($D$100&gt;'Calc 2b'!B11,('Calc 2b'!B11-'Calc 2b'!B10),($D$100-'Calc 2b'!B10)),0)</f>
        <v>0</v>
      </c>
      <c r="E105" s="141">
        <f t="shared" ca="1" si="2"/>
        <v>0</v>
      </c>
      <c r="I105" s="132"/>
    </row>
    <row r="106" spans="2:9" ht="18.75" customHeight="1" x14ac:dyDescent="0.15">
      <c r="B106" s="117"/>
      <c r="C106" s="116"/>
      <c r="D106" s="106"/>
      <c r="E106" s="108"/>
      <c r="I106" s="132"/>
    </row>
    <row r="107" spans="2:9" ht="21.75" customHeight="1" x14ac:dyDescent="0.15">
      <c r="B107" s="98" t="s">
        <v>43</v>
      </c>
      <c r="C107" s="128">
        <f ca="1">-1*'Calc 2a'!D24</f>
        <v>0</v>
      </c>
      <c r="D107" s="128">
        <f ca="1">-1*'Calc 2b'!D24</f>
        <v>0</v>
      </c>
      <c r="E107" s="122">
        <f ca="1">C107+D107</f>
        <v>0</v>
      </c>
      <c r="I107" s="132"/>
    </row>
    <row r="108" spans="2:9" ht="18.75" customHeight="1" x14ac:dyDescent="0.15">
      <c r="B108" s="98"/>
      <c r="C108" s="115"/>
      <c r="D108" s="104"/>
      <c r="E108" s="103"/>
      <c r="I108" s="132"/>
    </row>
    <row r="109" spans="2:9" ht="18.75" customHeight="1" x14ac:dyDescent="0.15">
      <c r="B109" s="98" t="s">
        <v>41</v>
      </c>
      <c r="C109" s="128">
        <f>-1*MAX('Calc 2a'!D32,0)</f>
        <v>0</v>
      </c>
      <c r="D109" s="128">
        <f>-1*MAX('Calc 2b'!D32,0)</f>
        <v>0</v>
      </c>
      <c r="E109" s="122">
        <f>C109+D109</f>
        <v>0</v>
      </c>
      <c r="I109" s="132"/>
    </row>
    <row r="110" spans="2:9" ht="13.5" customHeight="1" x14ac:dyDescent="0.15">
      <c r="B110" s="134" t="str">
        <f>'Calc 2a'!$A$28</f>
        <v>schijf 1</v>
      </c>
      <c r="C110" s="135">
        <f>'Calc 2a'!$D$28</f>
        <v>0</v>
      </c>
      <c r="D110" s="135">
        <f>'Calc 2b'!$D$28</f>
        <v>0</v>
      </c>
      <c r="E110" s="137">
        <f>C110+D110</f>
        <v>0</v>
      </c>
      <c r="I110" s="132"/>
    </row>
    <row r="111" spans="2:9" ht="13.5" customHeight="1" x14ac:dyDescent="0.15">
      <c r="B111" s="134" t="str">
        <f>'Calc 2a'!$A$29</f>
        <v>schijf 2</v>
      </c>
      <c r="C111" s="135">
        <f>'Calc 2a'!$D$29</f>
        <v>0</v>
      </c>
      <c r="D111" s="135">
        <f>'Calc 2b'!$D$29</f>
        <v>0</v>
      </c>
      <c r="E111" s="137">
        <f t="shared" ref="E111:E114" si="3">C111+D111</f>
        <v>0</v>
      </c>
      <c r="I111" s="132"/>
    </row>
    <row r="112" spans="2:9" ht="13.5" customHeight="1" x14ac:dyDescent="0.15">
      <c r="B112" s="134" t="str">
        <f>'Calc 2a'!$A$30</f>
        <v>schijf 3</v>
      </c>
      <c r="C112" s="135">
        <f>'Calc 2a'!$D$30</f>
        <v>0</v>
      </c>
      <c r="D112" s="135">
        <f>'Calc 2b'!$D$30</f>
        <v>0</v>
      </c>
      <c r="E112" s="137">
        <f t="shared" si="3"/>
        <v>0</v>
      </c>
      <c r="I112" s="132"/>
    </row>
    <row r="113" spans="2:9" ht="13.5" customHeight="1" x14ac:dyDescent="0.15">
      <c r="B113" s="134" t="str">
        <f>'Calc 2a'!$A$31</f>
        <v>schijf 4</v>
      </c>
      <c r="C113" s="135">
        <f>'Calc 2a'!$D$31</f>
        <v>0</v>
      </c>
      <c r="D113" s="135">
        <f>'Calc 2b'!$D$31</f>
        <v>0</v>
      </c>
      <c r="E113" s="137">
        <f t="shared" si="3"/>
        <v>0</v>
      </c>
      <c r="I113" s="132"/>
    </row>
    <row r="114" spans="2:9" ht="13.5" customHeight="1" x14ac:dyDescent="0.15">
      <c r="B114" s="134"/>
      <c r="C114" s="135">
        <f>'Calc 2a'!$D$32</f>
        <v>0</v>
      </c>
      <c r="D114" s="135">
        <f>'Calc 2b'!$D$32</f>
        <v>0</v>
      </c>
      <c r="E114" s="137">
        <f t="shared" si="3"/>
        <v>0</v>
      </c>
      <c r="I114" s="132"/>
    </row>
    <row r="115" spans="2:9" ht="18.75" customHeight="1" x14ac:dyDescent="0.15">
      <c r="B115" s="105"/>
      <c r="C115" s="109"/>
      <c r="D115" s="109"/>
      <c r="E115" s="110"/>
      <c r="I115" s="132"/>
    </row>
    <row r="116" spans="2:9" ht="18.75" customHeight="1" x14ac:dyDescent="0.15">
      <c r="B116" s="98" t="str">
        <f>"Correctie ivm tarief aftrekposten ("&amp;TEXT('Calc 2a'!B35,"#,#%")&amp;")"</f>
        <v>Correctie ivm tarief aftrekposten (12,%)</v>
      </c>
      <c r="C116" s="128">
        <f>'Calc 2a'!D35</f>
        <v>0</v>
      </c>
      <c r="D116" s="128">
        <f>'Calc 2b'!D35</f>
        <v>0</v>
      </c>
      <c r="E116" s="122">
        <f>C116+D116</f>
        <v>0</v>
      </c>
      <c r="I116" s="132"/>
    </row>
    <row r="117" spans="2:9" ht="18.75" customHeight="1" x14ac:dyDescent="0.15">
      <c r="B117" s="98"/>
      <c r="C117" s="115"/>
      <c r="D117" s="104"/>
      <c r="E117" s="103"/>
      <c r="I117" s="132"/>
    </row>
    <row r="118" spans="2:9" ht="18.75" customHeight="1" x14ac:dyDescent="0.15">
      <c r="B118" s="98" t="s">
        <v>15</v>
      </c>
      <c r="C118" s="128">
        <f>-1*C90*$E$17</f>
        <v>0</v>
      </c>
      <c r="D118" s="128">
        <f>-1*D90*$E$17</f>
        <v>0</v>
      </c>
      <c r="E118" s="122">
        <f>C118+D118</f>
        <v>0</v>
      </c>
      <c r="G118" s="88" t="s">
        <v>31</v>
      </c>
      <c r="I118" s="132"/>
    </row>
    <row r="119" spans="2:9" ht="18.75" customHeight="1" x14ac:dyDescent="0.15">
      <c r="B119" s="98" t="s">
        <v>32</v>
      </c>
      <c r="C119" s="128">
        <f ca="1">C118*'Calc 2a'!D65</f>
        <v>0</v>
      </c>
      <c r="D119" s="128">
        <f ca="1">'Calc 2b'!D65*'1'!D118</f>
        <v>0</v>
      </c>
      <c r="E119" s="122">
        <f ca="1">C119+D119</f>
        <v>0</v>
      </c>
      <c r="G119" s="88" t="s">
        <v>31</v>
      </c>
      <c r="I119" s="132"/>
    </row>
    <row r="120" spans="2:9" ht="18.75" customHeight="1" x14ac:dyDescent="0.15">
      <c r="B120" s="98"/>
      <c r="C120" s="115"/>
      <c r="D120" s="104"/>
      <c r="E120" s="103"/>
      <c r="I120" s="132"/>
    </row>
    <row r="121" spans="2:9" ht="18.75" customHeight="1" x14ac:dyDescent="0.15">
      <c r="B121" s="100" t="s">
        <v>13</v>
      </c>
      <c r="C121" s="129">
        <f ca="1">C102+C107+C109+C116+C119</f>
        <v>0</v>
      </c>
      <c r="D121" s="129">
        <f ca="1">D102+D107+D109+D116+D119</f>
        <v>0</v>
      </c>
      <c r="E121" s="123">
        <f ca="1">C121+D121</f>
        <v>0</v>
      </c>
      <c r="I121" s="132"/>
    </row>
    <row r="122" spans="2:9" ht="18.75" customHeight="1" x14ac:dyDescent="0.15">
      <c r="B122" s="98"/>
      <c r="C122" s="115"/>
      <c r="D122" s="104"/>
      <c r="E122" s="99"/>
      <c r="I122" s="132"/>
    </row>
    <row r="123" spans="2:9" ht="18.75" customHeight="1" x14ac:dyDescent="0.15">
      <c r="B123" s="111" t="s">
        <v>16</v>
      </c>
      <c r="C123" s="112"/>
      <c r="D123" s="112"/>
      <c r="E123" s="124" t="str">
        <f>IF(E85&gt;0,E121/E85,"nvt")</f>
        <v>nvt</v>
      </c>
      <c r="I123" s="132"/>
    </row>
    <row r="124" spans="2:9" ht="15.95" customHeight="1" x14ac:dyDescent="0.15">
      <c r="I124" s="132"/>
    </row>
    <row r="125" spans="2:9" ht="15.95" customHeight="1" x14ac:dyDescent="0.15">
      <c r="I125" s="132"/>
    </row>
    <row r="126" spans="2:9" ht="30" customHeight="1" x14ac:dyDescent="0.15">
      <c r="B126" s="91" t="s">
        <v>131</v>
      </c>
      <c r="I126" s="132"/>
    </row>
    <row r="127" spans="2:9" ht="18.75" customHeight="1" x14ac:dyDescent="0.15">
      <c r="B127" s="120" t="s">
        <v>17</v>
      </c>
      <c r="C127" s="77"/>
      <c r="D127" s="77"/>
      <c r="E127" s="130">
        <f>'1'!E6</f>
        <v>0</v>
      </c>
      <c r="I127" s="132"/>
    </row>
    <row r="128" spans="2:9" ht="18.75" customHeight="1" x14ac:dyDescent="0.15">
      <c r="B128" s="98" t="s">
        <v>129</v>
      </c>
      <c r="E128" s="122">
        <f>-'1'!E15</f>
        <v>0</v>
      </c>
      <c r="I128" s="132"/>
    </row>
    <row r="129" spans="2:9" ht="18.75" customHeight="1" x14ac:dyDescent="0.15">
      <c r="B129" s="98" t="s">
        <v>128</v>
      </c>
      <c r="E129" s="122">
        <f>-'1'!E12</f>
        <v>0</v>
      </c>
      <c r="I129" s="132"/>
    </row>
    <row r="130" spans="2:9" ht="18.75" customHeight="1" x14ac:dyDescent="0.15">
      <c r="B130" s="98" t="s">
        <v>127</v>
      </c>
      <c r="E130" s="150">
        <v>0</v>
      </c>
      <c r="I130" s="132"/>
    </row>
    <row r="131" spans="2:9" ht="18.75" customHeight="1" x14ac:dyDescent="0.15">
      <c r="B131" s="100" t="s">
        <v>132</v>
      </c>
      <c r="C131" s="101"/>
      <c r="D131" s="101"/>
      <c r="E131" s="123">
        <f>SUM(E127:E129)</f>
        <v>0</v>
      </c>
      <c r="I131" s="132"/>
    </row>
    <row r="132" spans="2:9" ht="18.75" customHeight="1" x14ac:dyDescent="0.15">
      <c r="B132" s="98"/>
      <c r="E132" s="103"/>
      <c r="I132" s="132"/>
    </row>
    <row r="133" spans="2:9" ht="18.75" customHeight="1" x14ac:dyDescent="0.15">
      <c r="B133" s="98" t="s">
        <v>128</v>
      </c>
      <c r="E133" s="122">
        <f>-E129</f>
        <v>0</v>
      </c>
      <c r="I133" s="132"/>
    </row>
    <row r="134" spans="2:9" ht="18.75" customHeight="1" x14ac:dyDescent="0.15">
      <c r="B134" s="98" t="s">
        <v>2</v>
      </c>
      <c r="E134" s="122">
        <f>'1'!E7</f>
        <v>0</v>
      </c>
      <c r="I134" s="132"/>
    </row>
    <row r="135" spans="2:9" ht="18.75" customHeight="1" x14ac:dyDescent="0.15">
      <c r="B135" s="98" t="s">
        <v>6</v>
      </c>
      <c r="E135" s="122">
        <f>'1'!E45</f>
        <v>0</v>
      </c>
      <c r="I135" s="132"/>
    </row>
    <row r="136" spans="2:9" ht="18.75" customHeight="1" x14ac:dyDescent="0.15">
      <c r="B136" s="98" t="s">
        <v>1</v>
      </c>
      <c r="E136" s="122">
        <f>'1'!E46</f>
        <v>0</v>
      </c>
      <c r="I136" s="132"/>
    </row>
    <row r="137" spans="2:9" ht="30.75" x14ac:dyDescent="0.15">
      <c r="B137" s="148" t="s">
        <v>125</v>
      </c>
      <c r="E137" s="150">
        <v>0</v>
      </c>
      <c r="I137" s="132"/>
    </row>
    <row r="138" spans="2:9" ht="30.75" x14ac:dyDescent="0.15">
      <c r="B138" s="148" t="s">
        <v>126</v>
      </c>
      <c r="E138" s="150">
        <v>0</v>
      </c>
      <c r="I138" s="132"/>
    </row>
    <row r="139" spans="2:9" ht="18.75" customHeight="1" x14ac:dyDescent="0.15">
      <c r="B139" s="100" t="s">
        <v>22</v>
      </c>
      <c r="C139" s="101"/>
      <c r="D139" s="101"/>
      <c r="E139" s="123">
        <f>SUM(E133:E138)</f>
        <v>0</v>
      </c>
      <c r="I139" s="132"/>
    </row>
    <row r="140" spans="2:9" ht="18.75" customHeight="1" x14ac:dyDescent="0.15">
      <c r="B140" s="98"/>
      <c r="E140" s="103"/>
      <c r="I140" s="132"/>
    </row>
    <row r="141" spans="2:9" ht="18.75" customHeight="1" x14ac:dyDescent="0.15">
      <c r="B141" s="98" t="s">
        <v>26</v>
      </c>
      <c r="E141" s="122">
        <f ca="1">'Calc 3a'!D12</f>
        <v>0</v>
      </c>
      <c r="I141" s="132"/>
    </row>
    <row r="142" spans="2:9" ht="13.5" customHeight="1" x14ac:dyDescent="0.15">
      <c r="B142" s="138" t="s">
        <v>51</v>
      </c>
      <c r="C142" s="139">
        <f>IF(E139&gt;'Calc 3a'!B8,'Calc 3a'!B8,E139)</f>
        <v>0</v>
      </c>
      <c r="D142" s="140">
        <f ca="1">'Calc 3a'!C8</f>
        <v>0.35820000000000002</v>
      </c>
      <c r="E142" s="141">
        <f ca="1">C142*D142</f>
        <v>0</v>
      </c>
      <c r="I142" s="132"/>
    </row>
    <row r="143" spans="2:9" ht="13.5" customHeight="1" x14ac:dyDescent="0.15">
      <c r="B143" s="138" t="s">
        <v>52</v>
      </c>
      <c r="C143" s="139">
        <f>MAX(IF($E$139&gt;'Calc 3a'!B9,('Calc 3a'!B9-'Calc 3a'!B8),($E$139-'Calc 3a'!B8)),0)</f>
        <v>0</v>
      </c>
      <c r="D143" s="140">
        <f ca="1">'Calc 3a'!C9</f>
        <v>0.35820000000000002</v>
      </c>
      <c r="E143" s="141">
        <f t="shared" ref="E143:E145" ca="1" si="4">C143*D143</f>
        <v>0</v>
      </c>
      <c r="I143" s="132"/>
    </row>
    <row r="144" spans="2:9" ht="13.5" customHeight="1" x14ac:dyDescent="0.15">
      <c r="B144" s="138" t="s">
        <v>53</v>
      </c>
      <c r="C144" s="139">
        <f>MAX(IF($E$139&gt;'Calc 3a'!B10,('Calc 3a'!B10-'Calc 3a'!B9),($E$139-'Calc 3a'!B9)),0)</f>
        <v>0</v>
      </c>
      <c r="D144" s="140">
        <f ca="1">'Calc 3a'!C10</f>
        <v>0.37480000000000002</v>
      </c>
      <c r="E144" s="141">
        <f t="shared" ca="1" si="4"/>
        <v>0</v>
      </c>
      <c r="I144" s="132"/>
    </row>
    <row r="145" spans="2:9" ht="13.5" customHeight="1" x14ac:dyDescent="0.15">
      <c r="B145" s="138" t="s">
        <v>54</v>
      </c>
      <c r="C145" s="139">
        <f>MAX(IF($E$139&gt;'Calc 3a'!B11,('Calc 3a'!B11-'Calc 3a'!B10),($E$139-'Calc 3a'!B10)),0)</f>
        <v>0</v>
      </c>
      <c r="D145" s="140">
        <f ca="1">'Calc 3a'!C11</f>
        <v>0.495</v>
      </c>
      <c r="E145" s="141">
        <f t="shared" ca="1" si="4"/>
        <v>0</v>
      </c>
      <c r="I145" s="132"/>
    </row>
    <row r="146" spans="2:9" ht="18.75" customHeight="1" x14ac:dyDescent="0.15">
      <c r="B146" s="138"/>
      <c r="C146" s="139"/>
      <c r="D146" s="140"/>
      <c r="E146" s="141"/>
      <c r="I146" s="132"/>
    </row>
    <row r="147" spans="2:9" ht="18.75" customHeight="1" x14ac:dyDescent="0.15">
      <c r="B147" s="98" t="s">
        <v>8</v>
      </c>
      <c r="E147" s="122">
        <f>'Calc 3a'!D19</f>
        <v>0</v>
      </c>
      <c r="I147" s="132"/>
    </row>
    <row r="148" spans="2:9" ht="13.5" customHeight="1" x14ac:dyDescent="0.15">
      <c r="B148" s="138" t="s">
        <v>51</v>
      </c>
      <c r="C148" s="139">
        <f>IF(E131&gt;'Calc 3a'!B19,'Calc 3a'!B19,E131)</f>
        <v>0</v>
      </c>
      <c r="D148" s="140">
        <f>'Calc 3a'!C19</f>
        <v>0.19</v>
      </c>
      <c r="E148" s="141">
        <f>C148*D148</f>
        <v>0</v>
      </c>
      <c r="I148" s="132"/>
    </row>
    <row r="149" spans="2:9" ht="13.5" customHeight="1" x14ac:dyDescent="0.15">
      <c r="B149" s="138" t="s">
        <v>52</v>
      </c>
      <c r="C149" s="139">
        <f>IF(E131&gt;'Calc 3a'!B19,(E131-'Calc 3a'!B19),0)</f>
        <v>0</v>
      </c>
      <c r="D149" s="140">
        <f>'Calc 3a'!C20</f>
        <v>0.25800000000000001</v>
      </c>
      <c r="E149" s="141">
        <f t="shared" ref="E149" si="5">C149*D149</f>
        <v>0</v>
      </c>
      <c r="I149" s="132"/>
    </row>
    <row r="150" spans="2:9" ht="13.5" customHeight="1" x14ac:dyDescent="0.15">
      <c r="B150" s="121"/>
      <c r="C150" s="106"/>
      <c r="D150" s="107"/>
      <c r="E150" s="108"/>
      <c r="I150" s="132"/>
    </row>
    <row r="151" spans="2:9" ht="18.75" customHeight="1" x14ac:dyDescent="0.15">
      <c r="B151" s="98" t="s">
        <v>129</v>
      </c>
      <c r="E151" s="122">
        <f>-E128</f>
        <v>0</v>
      </c>
      <c r="I151" s="132"/>
    </row>
    <row r="152" spans="2:9" ht="18.75" customHeight="1" x14ac:dyDescent="0.15">
      <c r="B152" s="102"/>
      <c r="E152" s="103"/>
      <c r="I152" s="132"/>
    </row>
    <row r="153" spans="2:9" ht="18.75" customHeight="1" x14ac:dyDescent="0.15">
      <c r="B153" s="100" t="s">
        <v>28</v>
      </c>
      <c r="C153" s="101"/>
      <c r="D153" s="101"/>
      <c r="E153" s="123">
        <f ca="1">E141+E147+E151</f>
        <v>0</v>
      </c>
      <c r="I153" s="132"/>
    </row>
    <row r="154" spans="2:9" ht="18.75" customHeight="1" x14ac:dyDescent="0.15">
      <c r="B154" s="98"/>
      <c r="E154" s="103"/>
      <c r="I154" s="132"/>
    </row>
    <row r="155" spans="2:9" ht="18.75" customHeight="1" x14ac:dyDescent="0.15">
      <c r="B155" s="98" t="s">
        <v>29</v>
      </c>
      <c r="E155" s="122">
        <f>'Calc 3a'!D14</f>
        <v>0</v>
      </c>
      <c r="I155" s="132"/>
    </row>
    <row r="156" spans="2:9" ht="18.75" customHeight="1" x14ac:dyDescent="0.15">
      <c r="B156" s="100" t="s">
        <v>15</v>
      </c>
      <c r="C156" s="101"/>
      <c r="D156" s="101"/>
      <c r="E156" s="123">
        <f>SUM(E155:E155)</f>
        <v>0</v>
      </c>
      <c r="I156" s="132"/>
    </row>
    <row r="157" spans="2:9" ht="18.75" customHeight="1" x14ac:dyDescent="0.15">
      <c r="B157" s="98"/>
      <c r="E157" s="103"/>
      <c r="I157" s="132"/>
    </row>
    <row r="158" spans="2:9" ht="18.75" customHeight="1" x14ac:dyDescent="0.15">
      <c r="B158" s="98" t="s">
        <v>30</v>
      </c>
      <c r="E158" s="122">
        <f ca="1">E147+E141</f>
        <v>0</v>
      </c>
      <c r="I158" s="132"/>
    </row>
    <row r="159" spans="2:9" ht="18.75" customHeight="1" x14ac:dyDescent="0.15">
      <c r="B159" s="98" t="s">
        <v>43</v>
      </c>
      <c r="E159" s="122">
        <f ca="1">-1*'Calc 3a'!D24</f>
        <v>0</v>
      </c>
      <c r="I159" s="132"/>
    </row>
    <row r="160" spans="2:9" ht="18.75" customHeight="1" x14ac:dyDescent="0.15">
      <c r="B160" s="98" t="s">
        <v>41</v>
      </c>
      <c r="E160" s="122">
        <f>-1*MAX('Calc 3a'!D32,0)</f>
        <v>0</v>
      </c>
      <c r="I160" s="132"/>
    </row>
    <row r="161" spans="2:9" ht="13.5" customHeight="1" x14ac:dyDescent="0.15">
      <c r="B161" s="134" t="str">
        <f>'Calc 3a'!$A$28</f>
        <v>schijf 1</v>
      </c>
      <c r="C161" s="135">
        <f>'Calc 3a'!$B$28</f>
        <v>12169</v>
      </c>
      <c r="D161" s="136">
        <f>'Calc 3a'!$C$28</f>
        <v>8.0530000000000004E-2</v>
      </c>
      <c r="E161" s="137">
        <f>'Calc 3a'!$D$28</f>
        <v>0</v>
      </c>
      <c r="I161" s="132"/>
    </row>
    <row r="162" spans="2:9" ht="13.5" customHeight="1" x14ac:dyDescent="0.15">
      <c r="B162" s="134" t="str">
        <f>'Calc 3a'!$A$29</f>
        <v>schijf 2</v>
      </c>
      <c r="C162" s="135">
        <f>'Calc 3a'!$B$29</f>
        <v>26288</v>
      </c>
      <c r="D162" s="136">
        <f>'Calc 3a'!$C$29</f>
        <v>0.30030000000000001</v>
      </c>
      <c r="E162" s="137">
        <f>'Calc 3a'!$D$29</f>
        <v>0</v>
      </c>
      <c r="I162" s="132"/>
    </row>
    <row r="163" spans="2:9" ht="13.5" customHeight="1" x14ac:dyDescent="0.15">
      <c r="B163" s="134" t="str">
        <f>'Calc 3a'!$A$30</f>
        <v>schijf 3</v>
      </c>
      <c r="C163" s="135">
        <f>'Calc 3a'!$B$30</f>
        <v>43071</v>
      </c>
      <c r="D163" s="136">
        <f>'Calc 3a'!$C$30</f>
        <v>2.2579999999999999E-2</v>
      </c>
      <c r="E163" s="137">
        <f>'Calc 3a'!$D$30</f>
        <v>0</v>
      </c>
      <c r="I163" s="132"/>
    </row>
    <row r="164" spans="2:9" ht="13.5" customHeight="1" x14ac:dyDescent="0.15">
      <c r="B164" s="134" t="str">
        <f>'Calc 3a'!$A$31</f>
        <v>schijf 4</v>
      </c>
      <c r="C164" s="135">
        <f>'Calc 3a'!$B$31</f>
        <v>129078</v>
      </c>
      <c r="D164" s="136">
        <f>'Calc 3a'!$C$31</f>
        <v>-6.5100000000000005E-2</v>
      </c>
      <c r="E164" s="137">
        <f>'Calc 3a'!$D$31</f>
        <v>0</v>
      </c>
      <c r="I164" s="132"/>
    </row>
    <row r="165" spans="2:9" ht="13.5" customHeight="1" x14ac:dyDescent="0.15">
      <c r="B165" s="134" t="str">
        <f>'Calc 3a'!$A$32</f>
        <v>Max/Min</v>
      </c>
      <c r="C165" s="135">
        <f>'Calc 3a'!$B$32</f>
        <v>5599</v>
      </c>
      <c r="D165" s="135">
        <f>'Calc 3a'!$C$32</f>
        <v>0</v>
      </c>
      <c r="E165" s="137">
        <f>'Calc 3a'!$D$32</f>
        <v>0</v>
      </c>
      <c r="I165" s="132"/>
    </row>
    <row r="166" spans="2:9" ht="18.75" customHeight="1" x14ac:dyDescent="0.15">
      <c r="B166" s="105"/>
      <c r="C166" s="118"/>
      <c r="D166" s="118"/>
      <c r="E166" s="119"/>
      <c r="I166" s="132"/>
    </row>
    <row r="167" spans="2:9" ht="18.75" customHeight="1" x14ac:dyDescent="0.15">
      <c r="B167" s="98" t="str">
        <f>"Correctie ivm tarief aftrekposten ("&amp;TEXT('Calc 3a'!B35,"#,##%")&amp;")"</f>
        <v>Correctie ivm tarief aftrekposten (12,02%)</v>
      </c>
      <c r="E167" s="122">
        <f>'Calc 3a'!D35</f>
        <v>0</v>
      </c>
      <c r="I167" s="132"/>
    </row>
    <row r="168" spans="2:9" ht="18.75" customHeight="1" x14ac:dyDescent="0.15">
      <c r="B168" s="98"/>
      <c r="E168" s="103"/>
      <c r="I168" s="132"/>
    </row>
    <row r="169" spans="2:9" ht="18.75" customHeight="1" x14ac:dyDescent="0.15">
      <c r="B169" s="98" t="s">
        <v>15</v>
      </c>
      <c r="E169" s="122">
        <f>E156</f>
        <v>0</v>
      </c>
      <c r="G169" s="88" t="s">
        <v>31</v>
      </c>
      <c r="I169" s="132"/>
    </row>
    <row r="170" spans="2:9" ht="18.75" customHeight="1" x14ac:dyDescent="0.15">
      <c r="B170" s="98" t="s">
        <v>24</v>
      </c>
      <c r="E170" s="122">
        <f ca="1">E169*'Calc 1a'!D65</f>
        <v>0</v>
      </c>
      <c r="G170" s="88" t="s">
        <v>31</v>
      </c>
      <c r="I170" s="132"/>
    </row>
    <row r="171" spans="2:9" ht="18.75" customHeight="1" x14ac:dyDescent="0.15">
      <c r="B171" s="98"/>
      <c r="E171" s="122"/>
      <c r="G171" s="88"/>
      <c r="I171" s="132"/>
    </row>
    <row r="172" spans="2:9" ht="18.75" customHeight="1" x14ac:dyDescent="0.15">
      <c r="B172" s="81" t="s">
        <v>35</v>
      </c>
      <c r="E172" s="122">
        <f ca="1">MAX('Calc 3b'!D12-'Calc 3b'!D32-'Calc 3b'!D24,0)</f>
        <v>0</v>
      </c>
      <c r="G172" s="88"/>
      <c r="I172" s="132"/>
    </row>
    <row r="173" spans="2:9" ht="18.75" customHeight="1" x14ac:dyDescent="0.15">
      <c r="B173" s="98"/>
      <c r="E173" s="103"/>
      <c r="I173" s="132"/>
    </row>
    <row r="174" spans="2:9" ht="18.75" customHeight="1" x14ac:dyDescent="0.15">
      <c r="B174" s="100" t="s">
        <v>13</v>
      </c>
      <c r="C174" s="101"/>
      <c r="D174" s="101"/>
      <c r="E174" s="123">
        <f ca="1">E158+E159+E160+E167+E170+E172</f>
        <v>0</v>
      </c>
      <c r="I174" s="132"/>
    </row>
    <row r="175" spans="2:9" ht="18.75" customHeight="1" x14ac:dyDescent="0.15">
      <c r="B175" s="102"/>
      <c r="E175" s="103"/>
      <c r="I175" s="132"/>
    </row>
    <row r="176" spans="2:9" ht="18.75" customHeight="1" x14ac:dyDescent="0.15">
      <c r="B176" s="111" t="s">
        <v>16</v>
      </c>
      <c r="C176" s="112"/>
      <c r="D176" s="112"/>
      <c r="E176" s="124" t="str">
        <f>IF(E127&gt;0,E174/E127,"nvt")</f>
        <v>nvt</v>
      </c>
      <c r="I176" s="132"/>
    </row>
  </sheetData>
  <sheetProtection sheet="1" objects="1" scenarios="1"/>
  <mergeCells count="13">
    <mergeCell ref="B2:E2"/>
    <mergeCell ref="B6:C6"/>
    <mergeCell ref="B7:C7"/>
    <mergeCell ref="B8:C8"/>
    <mergeCell ref="B18:C18"/>
    <mergeCell ref="B19:C19"/>
    <mergeCell ref="B12:C12"/>
    <mergeCell ref="B5:C5"/>
    <mergeCell ref="B9:C9"/>
    <mergeCell ref="B10:C10"/>
    <mergeCell ref="B15:C15"/>
    <mergeCell ref="B16:C16"/>
    <mergeCell ref="B17:C17"/>
  </mergeCells>
  <phoneticPr fontId="0" type="noConversion"/>
  <dataValidations count="2">
    <dataValidation type="whole" allowBlank="1" showInputMessage="1" showErrorMessage="1" errorTitle="Leeftjid invullen." error="Vul een getal in tussen 18 en 65." sqref="E11" xr:uid="{00000000-0002-0000-0100-000000000000}">
      <formula1>18</formula1>
      <formula2>65</formula2>
    </dataValidation>
    <dataValidation type="list" allowBlank="1" showInputMessage="1" showErrorMessage="1" sqref="E5" xr:uid="{00000000-0002-0000-0100-000001000000}">
      <formula1>"2025,2024,2023"</formula1>
    </dataValidation>
  </dataValidations>
  <pageMargins left="0.70866141732283472" right="0.70866141732283472" top="0.74803149606299213" bottom="0.74803149606299213" header="0.31496062992125984" footer="0.31496062992125984"/>
  <pageSetup paperSize="9" scale="63" fitToHeight="0" orientation="portrait" horizontalDpi="300" verticalDpi="300" r:id="rId1"/>
  <rowBreaks count="3" manualBreakCount="3">
    <brk id="25" max="16383" man="1"/>
    <brk id="78" max="16383" man="1"/>
    <brk id="1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3</xdr:col>
                    <xdr:colOff>19050</xdr:colOff>
                    <xdr:row>26</xdr:row>
                    <xdr:rowOff>0</xdr:rowOff>
                  </from>
                  <to>
                    <xdr:col>4</xdr:col>
                    <xdr:colOff>0</xdr:colOff>
                    <xdr:row>26</xdr:row>
                    <xdr:rowOff>219075</xdr:rowOff>
                  </to>
                </anchor>
              </controlPr>
            </control>
          </mc:Choice>
        </mc:AlternateContent>
        <mc:AlternateContent xmlns:mc="http://schemas.openxmlformats.org/markup-compatibility/2006">
          <mc:Choice Requires="x14">
            <control shapeId="2116" r:id="rId5" name="Check Box 68">
              <controlPr locked="0" defaultSize="0" autoFill="0" autoLine="0" autoPict="0">
                <anchor moveWithCells="1">
                  <from>
                    <xdr:col>2</xdr:col>
                    <xdr:colOff>123825</xdr:colOff>
                    <xdr:row>80</xdr:row>
                    <xdr:rowOff>28575</xdr:rowOff>
                  </from>
                  <to>
                    <xdr:col>2</xdr:col>
                    <xdr:colOff>1847850</xdr:colOff>
                    <xdr:row>81</xdr:row>
                    <xdr:rowOff>0</xdr:rowOff>
                  </to>
                </anchor>
              </controlPr>
            </control>
          </mc:Choice>
        </mc:AlternateContent>
        <mc:AlternateContent xmlns:mc="http://schemas.openxmlformats.org/markup-compatibility/2006">
          <mc:Choice Requires="x14">
            <control shapeId="2117" r:id="rId6" name="Check Box 69">
              <controlPr locked="0" defaultSize="0" autoFill="0" autoLine="0" autoPict="0">
                <anchor moveWithCells="1">
                  <from>
                    <xdr:col>2</xdr:col>
                    <xdr:colOff>123825</xdr:colOff>
                    <xdr:row>79</xdr:row>
                    <xdr:rowOff>28575</xdr:rowOff>
                  </from>
                  <to>
                    <xdr:col>2</xdr:col>
                    <xdr:colOff>1847850</xdr:colOff>
                    <xdr:row>80</xdr:row>
                    <xdr:rowOff>0</xdr:rowOff>
                  </to>
                </anchor>
              </controlPr>
            </control>
          </mc:Choice>
        </mc:AlternateContent>
        <mc:AlternateContent xmlns:mc="http://schemas.openxmlformats.org/markup-compatibility/2006">
          <mc:Choice Requires="x14">
            <control shapeId="2161" r:id="rId7" name="Check Box 113">
              <controlPr locked="0" defaultSize="0" autoFill="0" autoLine="0" autoPict="0">
                <anchor moveWithCells="1">
                  <from>
                    <xdr:col>1</xdr:col>
                    <xdr:colOff>2343150</xdr:colOff>
                    <xdr:row>79</xdr:row>
                    <xdr:rowOff>28575</xdr:rowOff>
                  </from>
                  <to>
                    <xdr:col>1</xdr:col>
                    <xdr:colOff>3581400</xdr:colOff>
                    <xdr:row>79</xdr:row>
                    <xdr:rowOff>219075</xdr:rowOff>
                  </to>
                </anchor>
              </controlPr>
            </control>
          </mc:Choice>
        </mc:AlternateContent>
        <mc:AlternateContent xmlns:mc="http://schemas.openxmlformats.org/markup-compatibility/2006">
          <mc:Choice Requires="x14">
            <control shapeId="2162" r:id="rId8" name="Check Box 114">
              <controlPr locked="0" defaultSize="0" autoFill="0" autoLine="0" autoPict="0">
                <anchor moveWithCells="1">
                  <from>
                    <xdr:col>1</xdr:col>
                    <xdr:colOff>2343150</xdr:colOff>
                    <xdr:row>80</xdr:row>
                    <xdr:rowOff>28575</xdr:rowOff>
                  </from>
                  <to>
                    <xdr:col>1</xdr:col>
                    <xdr:colOff>3581400</xdr:colOff>
                    <xdr:row>81</xdr:row>
                    <xdr:rowOff>0</xdr:rowOff>
                  </to>
                </anchor>
              </controlPr>
            </control>
          </mc:Choice>
        </mc:AlternateContent>
        <mc:AlternateContent xmlns:mc="http://schemas.openxmlformats.org/markup-compatibility/2006">
          <mc:Choice Requires="x14">
            <control shapeId="2166" r:id="rId9" name="Check Box 118">
              <controlPr locked="0" defaultSize="0" autoFill="0" autoLine="0" autoPict="0">
                <anchor moveWithCells="1">
                  <from>
                    <xdr:col>2</xdr:col>
                    <xdr:colOff>257175</xdr:colOff>
                    <xdr:row>26</xdr:row>
                    <xdr:rowOff>0</xdr:rowOff>
                  </from>
                  <to>
                    <xdr:col>2</xdr:col>
                    <xdr:colOff>1743075</xdr:colOff>
                    <xdr:row>26</xdr:row>
                    <xdr:rowOff>219075</xdr:rowOff>
                  </to>
                </anchor>
              </controlPr>
            </control>
          </mc:Choice>
        </mc:AlternateContent>
        <mc:AlternateContent xmlns:mc="http://schemas.openxmlformats.org/markup-compatibility/2006">
          <mc:Choice Requires="x14">
            <control shapeId="2480" r:id="rId10" name="Check Box 432">
              <controlPr locked="0" defaultSize="0" autoFill="0" autoLine="0" autoPict="0">
                <anchor moveWithCells="1">
                  <from>
                    <xdr:col>4</xdr:col>
                    <xdr:colOff>19050</xdr:colOff>
                    <xdr:row>26</xdr:row>
                    <xdr:rowOff>0</xdr:rowOff>
                  </from>
                  <to>
                    <xdr:col>5</xdr:col>
                    <xdr:colOff>0</xdr:colOff>
                    <xdr:row>26</xdr:row>
                    <xdr:rowOff>219075</xdr:rowOff>
                  </to>
                </anchor>
              </controlPr>
            </control>
          </mc:Choice>
        </mc:AlternateContent>
        <mc:AlternateContent xmlns:mc="http://schemas.openxmlformats.org/markup-compatibility/2006">
          <mc:Choice Requires="x14">
            <control shapeId="2481" r:id="rId11" name="Check Box 433">
              <controlPr locked="0" defaultSize="0" autoFill="0" autoLine="0" autoPict="0">
                <anchor moveWithCells="1">
                  <from>
                    <xdr:col>3</xdr:col>
                    <xdr:colOff>142875</xdr:colOff>
                    <xdr:row>79</xdr:row>
                    <xdr:rowOff>28575</xdr:rowOff>
                  </from>
                  <to>
                    <xdr:col>4</xdr:col>
                    <xdr:colOff>0</xdr:colOff>
                    <xdr:row>80</xdr:row>
                    <xdr:rowOff>0</xdr:rowOff>
                  </to>
                </anchor>
              </controlPr>
            </control>
          </mc:Choice>
        </mc:AlternateContent>
        <mc:AlternateContent xmlns:mc="http://schemas.openxmlformats.org/markup-compatibility/2006">
          <mc:Choice Requires="x14">
            <control shapeId="2482" r:id="rId12" name="Check Box 434">
              <controlPr locked="0" defaultSize="0" autoFill="0" autoLine="0" autoPict="0">
                <anchor moveWithCells="1">
                  <from>
                    <xdr:col>3</xdr:col>
                    <xdr:colOff>142875</xdr:colOff>
                    <xdr:row>80</xdr:row>
                    <xdr:rowOff>28575</xdr:rowOff>
                  </from>
                  <to>
                    <xdr:col>4</xdr:col>
                    <xdr:colOff>0</xdr:colOff>
                    <xdr:row>81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O155"/>
  <sheetViews>
    <sheetView showGridLines="0" zoomScale="63" zoomScaleNormal="100" workbookViewId="0">
      <selection activeCell="S138" sqref="S138"/>
    </sheetView>
  </sheetViews>
  <sheetFormatPr defaultColWidth="0.140625" defaultRowHeight="11.25" x14ac:dyDescent="0.15"/>
  <cols>
    <col min="1" max="1" width="36.140625" bestFit="1" customWidth="1"/>
    <col min="2" max="2" width="16.7109375" bestFit="1" customWidth="1"/>
    <col min="3" max="3" width="9.7109375" bestFit="1" customWidth="1"/>
    <col min="4" max="4" width="20.42578125" bestFit="1" customWidth="1"/>
    <col min="5" max="5" width="11.5703125" bestFit="1" customWidth="1"/>
    <col min="6" max="6" width="18" bestFit="1" customWidth="1"/>
    <col min="7" max="7" width="11.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191">
        <f>'1'!E5</f>
        <v>2025</v>
      </c>
      <c r="B1" s="2" t="s">
        <v>44</v>
      </c>
      <c r="C1" s="2"/>
      <c r="D1" s="3">
        <f ca="1">D12-D24-D32-D35</f>
        <v>0</v>
      </c>
      <c r="E1" s="2"/>
      <c r="F1" s="67" t="s">
        <v>45</v>
      </c>
      <c r="G1" s="68">
        <f>A4</f>
        <v>36526</v>
      </c>
      <c r="H1" s="69">
        <f>VLOOKUP(G1,F2:H60,3)</f>
        <v>70</v>
      </c>
      <c r="I1" s="5"/>
      <c r="J1" s="2"/>
      <c r="K1" s="2"/>
      <c r="L1" s="2"/>
      <c r="M1" s="2"/>
      <c r="N1" s="2"/>
      <c r="O1" s="2"/>
    </row>
    <row r="2" spans="1:15" ht="15" x14ac:dyDescent="0.15">
      <c r="A2" s="192">
        <f>'1'!E35</f>
        <v>0</v>
      </c>
      <c r="B2" s="2" t="s">
        <v>101</v>
      </c>
      <c r="C2" s="2"/>
      <c r="D2" s="3"/>
      <c r="E2" s="2"/>
      <c r="F2" s="51">
        <v>1</v>
      </c>
      <c r="G2" s="51">
        <v>17532</v>
      </c>
      <c r="H2" s="66">
        <v>65</v>
      </c>
      <c r="I2" s="5"/>
      <c r="J2" s="2"/>
      <c r="K2" s="2"/>
      <c r="L2" s="2"/>
      <c r="M2" s="2"/>
      <c r="N2" s="2"/>
      <c r="O2" s="2"/>
    </row>
    <row r="3" spans="1:15" x14ac:dyDescent="0.15">
      <c r="A3" s="193">
        <f>'1'!E49</f>
        <v>0</v>
      </c>
      <c r="B3" s="2" t="s">
        <v>42</v>
      </c>
      <c r="C3" s="2"/>
      <c r="D3" s="2"/>
      <c r="E3" s="2"/>
      <c r="F3" s="70">
        <f>G2</f>
        <v>17532</v>
      </c>
      <c r="G3" s="51">
        <v>17868</v>
      </c>
      <c r="H3" s="66">
        <f>65+1/12</f>
        <v>65.083333333333329</v>
      </c>
      <c r="I3" s="2"/>
      <c r="J3" s="2"/>
      <c r="K3" s="2"/>
      <c r="L3" s="2"/>
      <c r="M3" s="2"/>
      <c r="N3" s="2"/>
      <c r="O3" s="2"/>
    </row>
    <row r="4" spans="1:15" x14ac:dyDescent="0.15">
      <c r="A4" s="194">
        <f>'1'!E10</f>
        <v>36526</v>
      </c>
      <c r="B4" s="2" t="s">
        <v>45</v>
      </c>
      <c r="C4" s="2"/>
      <c r="D4" s="2"/>
      <c r="E4" s="2"/>
      <c r="F4" s="70">
        <f t="shared" ref="F4:F12" si="0">G3</f>
        <v>17868</v>
      </c>
      <c r="G4" s="51">
        <v>18203</v>
      </c>
      <c r="H4" s="66">
        <f>65+2/12</f>
        <v>65.166666666666671</v>
      </c>
      <c r="I4" s="2"/>
      <c r="J4" s="2"/>
      <c r="K4" s="2"/>
      <c r="L4" s="2"/>
      <c r="M4" s="2"/>
      <c r="N4" s="2"/>
      <c r="O4" s="2"/>
    </row>
    <row r="5" spans="1:15" x14ac:dyDescent="0.15">
      <c r="A5" s="8"/>
      <c r="B5" s="2"/>
      <c r="C5" s="2"/>
      <c r="D5" s="2"/>
      <c r="E5" s="2"/>
      <c r="F5" s="70">
        <f t="shared" si="0"/>
        <v>18203</v>
      </c>
      <c r="G5" s="51">
        <v>18537</v>
      </c>
      <c r="H5" s="66">
        <f>65+3/12</f>
        <v>65.25</v>
      </c>
      <c r="I5" s="2"/>
      <c r="J5" s="2"/>
      <c r="K5" s="2"/>
      <c r="L5" s="2"/>
      <c r="M5" s="2"/>
      <c r="N5" s="2"/>
      <c r="O5" s="2"/>
    </row>
    <row r="6" spans="1:15" x14ac:dyDescent="0.15">
      <c r="A6" s="9" t="s">
        <v>46</v>
      </c>
      <c r="B6" s="2"/>
      <c r="C6" s="2"/>
      <c r="D6" s="2"/>
      <c r="E6" s="2"/>
      <c r="F6" s="70">
        <f t="shared" si="0"/>
        <v>18537</v>
      </c>
      <c r="G6" s="51">
        <v>18810</v>
      </c>
      <c r="H6" s="66">
        <v>65.5</v>
      </c>
      <c r="I6" s="2"/>
      <c r="J6" s="2"/>
      <c r="K6" s="2"/>
      <c r="L6" s="2"/>
      <c r="M6" s="2"/>
      <c r="N6" s="2"/>
      <c r="O6" s="2"/>
    </row>
    <row r="7" spans="1:15" x14ac:dyDescent="0.15">
      <c r="A7" s="9" t="s">
        <v>47</v>
      </c>
      <c r="B7" s="10" t="s">
        <v>48</v>
      </c>
      <c r="C7" s="10" t="s">
        <v>49</v>
      </c>
      <c r="D7" s="11" t="s">
        <v>50</v>
      </c>
      <c r="E7" s="2"/>
      <c r="F7" s="70">
        <f t="shared" si="0"/>
        <v>18810</v>
      </c>
      <c r="G7" s="51">
        <v>19085</v>
      </c>
      <c r="H7" s="66">
        <v>65.75</v>
      </c>
      <c r="I7" s="11"/>
      <c r="J7" s="2"/>
      <c r="K7" s="2"/>
      <c r="L7" s="2"/>
      <c r="M7" s="2"/>
      <c r="N7" s="2"/>
      <c r="O7" s="2"/>
    </row>
    <row r="8" spans="1:15" x14ac:dyDescent="0.15">
      <c r="A8" s="8" t="s">
        <v>51</v>
      </c>
      <c r="B8" s="2">
        <f>LOOKUP($A$1,$B$73:$O$73,B74:O74)</f>
        <v>26288</v>
      </c>
      <c r="C8" s="13">
        <f ca="1">LOOKUP($A$1,$B$73:$O$73,B80:G80)</f>
        <v>0.35820000000000002</v>
      </c>
      <c r="D8" s="14">
        <f ca="1">IF($A$3&gt;$B8,$B8*$C8,$A$3*$C8)</f>
        <v>0</v>
      </c>
      <c r="E8" s="2"/>
      <c r="F8" s="70">
        <f t="shared" si="0"/>
        <v>19085</v>
      </c>
      <c r="G8" s="71">
        <v>19360</v>
      </c>
      <c r="H8" s="72">
        <v>66</v>
      </c>
      <c r="I8" s="14"/>
      <c r="J8" s="2"/>
      <c r="K8" s="2"/>
      <c r="L8" s="2"/>
      <c r="M8" s="2"/>
      <c r="N8" s="2"/>
      <c r="O8" s="2"/>
    </row>
    <row r="9" spans="1:15" x14ac:dyDescent="0.15">
      <c r="A9" s="8" t="s">
        <v>52</v>
      </c>
      <c r="B9" s="2">
        <f>LOOKUP($A$1,$B$73:$O$73,B75:O75)</f>
        <v>38441</v>
      </c>
      <c r="C9" s="13">
        <f ca="1">LOOKUP($A$1,$B$73:$O$73,B81:G81)</f>
        <v>0.35820000000000002</v>
      </c>
      <c r="D9" s="14">
        <f ca="1">MAX(IF($A$3&gt;$B9,($B9-$B8)*$C9,($A$3-$B8)*$C9),0)</f>
        <v>0</v>
      </c>
      <c r="E9" s="2"/>
      <c r="F9" s="70">
        <f t="shared" si="0"/>
        <v>19360</v>
      </c>
      <c r="G9" s="71">
        <v>19603</v>
      </c>
      <c r="H9" s="72">
        <v>66.333333333333329</v>
      </c>
      <c r="I9" s="14"/>
      <c r="J9" s="2"/>
      <c r="K9" s="2"/>
      <c r="L9" s="2"/>
      <c r="M9" s="2"/>
      <c r="N9" s="2"/>
      <c r="O9" s="2"/>
    </row>
    <row r="10" spans="1:15" x14ac:dyDescent="0.15">
      <c r="A10" s="8" t="s">
        <v>53</v>
      </c>
      <c r="B10" s="2">
        <f>LOOKUP($A$1,$B$73:$O$73,B76:O76)</f>
        <v>76817</v>
      </c>
      <c r="C10" s="13">
        <f ca="1">LOOKUP($A$1,$B$73:$O$73,B82:G82)</f>
        <v>0.37480000000000002</v>
      </c>
      <c r="D10" s="14">
        <f ca="1">MAX(IF($A$3&gt;$B10,($B10-$B9)*$C10,($A$3-$B9)*$C10),0)</f>
        <v>0</v>
      </c>
      <c r="E10" s="2"/>
      <c r="F10" s="70">
        <f t="shared" si="0"/>
        <v>19603</v>
      </c>
      <c r="G10" s="71">
        <v>19968</v>
      </c>
      <c r="H10" s="72">
        <v>66.333333333333329</v>
      </c>
      <c r="I10" s="14"/>
      <c r="J10" s="2"/>
      <c r="K10" s="2"/>
      <c r="L10" s="2"/>
      <c r="M10" s="2"/>
      <c r="N10" s="2"/>
      <c r="O10" s="2"/>
    </row>
    <row r="11" spans="1:15" x14ac:dyDescent="0.15">
      <c r="A11" s="8" t="s">
        <v>54</v>
      </c>
      <c r="B11" s="16">
        <v>1E+100</v>
      </c>
      <c r="C11" s="13">
        <f ca="1">LOOKUP($A$1,$B$73:$O$73,B83:G83)</f>
        <v>0.495</v>
      </c>
      <c r="D11" s="14">
        <f ca="1">MAX(IF($A$3&gt;$B11,($B11-$B10)*$C11,($A$3-$B10)*$C11),0)</f>
        <v>0</v>
      </c>
      <c r="E11" s="2"/>
      <c r="F11" s="70">
        <f t="shared" si="0"/>
        <v>19968</v>
      </c>
      <c r="G11" s="71">
        <v>20333</v>
      </c>
      <c r="H11" s="72">
        <v>66.333333333333329</v>
      </c>
      <c r="I11" s="14"/>
      <c r="J11" s="2"/>
      <c r="K11" s="2"/>
      <c r="L11" s="2"/>
      <c r="M11" s="2"/>
      <c r="N11" s="2"/>
      <c r="O11" s="2"/>
    </row>
    <row r="12" spans="1:15" ht="15" x14ac:dyDescent="0.15">
      <c r="A12" s="8"/>
      <c r="B12" s="2"/>
      <c r="C12" s="2"/>
      <c r="D12" s="17">
        <f ca="1">ROUNDDOWN(SUM(D8:D11),0)</f>
        <v>0</v>
      </c>
      <c r="E12" s="2"/>
      <c r="F12" s="70">
        <f t="shared" si="0"/>
        <v>20333</v>
      </c>
      <c r="G12" s="73">
        <v>20607</v>
      </c>
      <c r="H12" s="66">
        <v>66.583333333333329</v>
      </c>
      <c r="I12" s="18"/>
      <c r="J12" s="2"/>
      <c r="K12" s="2"/>
      <c r="L12" s="2"/>
      <c r="M12" s="2"/>
      <c r="N12" s="2"/>
      <c r="O12" s="2"/>
    </row>
    <row r="13" spans="1:15" ht="15" x14ac:dyDescent="0.15">
      <c r="A13" s="8"/>
      <c r="B13" s="2"/>
      <c r="C13" s="2"/>
      <c r="D13" s="18"/>
      <c r="E13" s="2"/>
      <c r="F13" s="70">
        <v>20729</v>
      </c>
      <c r="G13" s="73">
        <v>20880</v>
      </c>
      <c r="H13" s="66">
        <v>66.833333333333329</v>
      </c>
      <c r="I13" s="18"/>
      <c r="J13" s="2"/>
      <c r="K13" s="2"/>
      <c r="L13" s="2"/>
      <c r="M13" s="2"/>
      <c r="N13" s="2"/>
      <c r="O13" s="2"/>
    </row>
    <row r="14" spans="1:15" ht="15" x14ac:dyDescent="0.15">
      <c r="A14" s="9" t="s">
        <v>55</v>
      </c>
      <c r="B14" s="2">
        <v>250001</v>
      </c>
      <c r="C14" s="2"/>
      <c r="D14" s="41">
        <f>ROUNDDOWN(SUM(D15:D16),0)</f>
        <v>77500</v>
      </c>
      <c r="E14" s="2"/>
      <c r="F14" s="70">
        <f t="shared" ref="F14:F52" si="1">G13</f>
        <v>20880</v>
      </c>
      <c r="G14" s="73">
        <v>21186</v>
      </c>
      <c r="H14" s="66">
        <v>67</v>
      </c>
      <c r="I14" s="18"/>
      <c r="J14" s="2"/>
      <c r="K14" s="2"/>
      <c r="L14" s="2"/>
      <c r="M14" s="2"/>
      <c r="N14" s="2"/>
      <c r="O14" s="2"/>
    </row>
    <row r="15" spans="1:15" ht="15" x14ac:dyDescent="0.15">
      <c r="A15" s="9"/>
      <c r="B15" s="2">
        <v>250000</v>
      </c>
      <c r="C15" s="38">
        <f>LOOKUP(A1,B73:O73,B85:O85)</f>
        <v>0.31</v>
      </c>
      <c r="D15" s="2">
        <f>IF(B14&gt;B15,B15*C15,B14*C15)</f>
        <v>77500</v>
      </c>
      <c r="E15" s="2"/>
      <c r="F15" s="70">
        <f t="shared" si="1"/>
        <v>21186</v>
      </c>
      <c r="G15" s="73">
        <v>21551</v>
      </c>
      <c r="H15" s="66">
        <v>67</v>
      </c>
      <c r="I15" s="18"/>
      <c r="J15" s="2"/>
      <c r="K15" s="2"/>
      <c r="L15" s="2"/>
      <c r="M15" s="2"/>
      <c r="N15" s="2"/>
      <c r="O15" s="2"/>
    </row>
    <row r="16" spans="1:15" ht="15" x14ac:dyDescent="0.15">
      <c r="A16" s="2"/>
      <c r="B16" s="2"/>
      <c r="C16" s="20">
        <f>MAX(C15,0.25)</f>
        <v>0.31</v>
      </c>
      <c r="D16" s="2">
        <f>IF(B14&gt;B15,(B14-B15)*C16,0)</f>
        <v>0.31</v>
      </c>
      <c r="E16" s="2"/>
      <c r="F16" s="70">
        <f t="shared" si="1"/>
        <v>21551</v>
      </c>
      <c r="G16" s="73">
        <v>21916</v>
      </c>
      <c r="H16" s="66">
        <v>67</v>
      </c>
      <c r="I16" s="18"/>
      <c r="J16" s="2"/>
      <c r="K16" s="2"/>
      <c r="L16" s="2"/>
      <c r="M16" s="2"/>
      <c r="N16" s="2"/>
      <c r="O16" s="2"/>
    </row>
    <row r="17" spans="1:15" ht="15" x14ac:dyDescent="0.15">
      <c r="A17" s="8"/>
      <c r="B17" s="2"/>
      <c r="C17" s="2"/>
      <c r="D17" s="18"/>
      <c r="E17" s="2"/>
      <c r="F17" s="70">
        <f t="shared" si="1"/>
        <v>21916</v>
      </c>
      <c r="G17" s="73">
        <v>22282</v>
      </c>
      <c r="H17" s="66">
        <v>67</v>
      </c>
      <c r="I17" s="18"/>
      <c r="J17" s="2"/>
      <c r="K17" s="2"/>
      <c r="L17" s="2"/>
      <c r="M17" s="2"/>
      <c r="N17" s="2"/>
      <c r="O17" s="2"/>
    </row>
    <row r="18" spans="1:15" ht="15" x14ac:dyDescent="0.15">
      <c r="A18" s="9" t="s">
        <v>8</v>
      </c>
      <c r="B18" s="2"/>
      <c r="C18" s="2"/>
      <c r="D18" s="18"/>
      <c r="E18" s="2"/>
      <c r="F18" s="70">
        <f t="shared" si="1"/>
        <v>22282</v>
      </c>
      <c r="G18" s="73">
        <v>22555</v>
      </c>
      <c r="H18" s="66">
        <v>67.25</v>
      </c>
      <c r="I18" s="18"/>
      <c r="J18" s="2"/>
      <c r="K18" s="2"/>
      <c r="L18" s="2"/>
      <c r="M18" s="2"/>
      <c r="N18" s="2"/>
      <c r="O18" s="2"/>
    </row>
    <row r="19" spans="1:15" ht="15" x14ac:dyDescent="0.15">
      <c r="A19" s="192">
        <f>'1'!E131</f>
        <v>0</v>
      </c>
      <c r="B19" s="2">
        <f>LOOKUP(A1,B87:O87,B88:O88)</f>
        <v>200000</v>
      </c>
      <c r="C19" s="19">
        <f>LOOKUP(A1,B87:O87,B89:O89)</f>
        <v>0.19</v>
      </c>
      <c r="D19" s="17">
        <f>IF(A19&lt;B19,A19*C19,(B19*C19)+((A19-B19)*C20))</f>
        <v>0</v>
      </c>
      <c r="E19" s="2"/>
      <c r="F19" s="70">
        <f t="shared" si="1"/>
        <v>22555</v>
      </c>
      <c r="G19" s="73">
        <v>22920</v>
      </c>
      <c r="H19" s="66">
        <v>67.25</v>
      </c>
      <c r="I19" s="18"/>
      <c r="J19" s="2"/>
      <c r="K19" s="2"/>
      <c r="L19" s="2"/>
      <c r="M19" s="2"/>
      <c r="N19" s="2"/>
      <c r="O19" s="2"/>
    </row>
    <row r="20" spans="1:15" ht="15" x14ac:dyDescent="0.15">
      <c r="A20" s="8"/>
      <c r="B20" s="2"/>
      <c r="C20" s="19">
        <f>LOOKUP(A1,B87:O87,B90:O90)</f>
        <v>0.25800000000000001</v>
      </c>
      <c r="D20" s="18"/>
      <c r="E20" s="2"/>
      <c r="F20" s="70">
        <f t="shared" si="1"/>
        <v>22920</v>
      </c>
      <c r="G20" s="73">
        <v>23285</v>
      </c>
      <c r="H20" s="66">
        <v>67.25</v>
      </c>
      <c r="I20" s="18"/>
      <c r="J20" s="2"/>
      <c r="K20" s="2"/>
      <c r="L20" s="2"/>
      <c r="M20" s="2"/>
      <c r="N20" s="2"/>
      <c r="O20" s="2"/>
    </row>
    <row r="21" spans="1:15" x14ac:dyDescent="0.15">
      <c r="A21" s="9" t="s">
        <v>56</v>
      </c>
      <c r="B21" s="2"/>
      <c r="C21" s="2"/>
      <c r="D21" s="2"/>
      <c r="E21" s="2"/>
      <c r="F21" s="70">
        <f t="shared" si="1"/>
        <v>23285</v>
      </c>
      <c r="G21" s="73">
        <v>23559</v>
      </c>
      <c r="H21" s="66">
        <v>67.5</v>
      </c>
      <c r="I21" s="2"/>
      <c r="J21" s="2"/>
      <c r="K21" s="2"/>
      <c r="L21" s="2"/>
      <c r="M21" s="2"/>
      <c r="N21" s="2"/>
      <c r="O21" s="2"/>
    </row>
    <row r="22" spans="1:15" x14ac:dyDescent="0.15">
      <c r="A22" s="9" t="s">
        <v>57</v>
      </c>
      <c r="B22" s="10">
        <f>LOOKUP(A1,B73:O73,B92:O92)</f>
        <v>3068</v>
      </c>
      <c r="C22" s="10"/>
      <c r="D22" s="11"/>
      <c r="E22" s="2"/>
      <c r="F22" s="70">
        <f t="shared" si="1"/>
        <v>23559</v>
      </c>
      <c r="G22" s="73">
        <v>23924</v>
      </c>
      <c r="H22" s="66">
        <v>67.5</v>
      </c>
      <c r="I22" s="11"/>
      <c r="J22" s="2"/>
      <c r="K22" s="2"/>
      <c r="L22" s="2"/>
      <c r="M22" s="2"/>
      <c r="N22" s="2"/>
      <c r="O22" s="2"/>
    </row>
    <row r="23" spans="1:15" x14ac:dyDescent="0.15">
      <c r="A23" s="8" t="s">
        <v>58</v>
      </c>
      <c r="B23" s="2">
        <f>LOOKUP(A1,B73:O73,B94:O94)</f>
        <v>0</v>
      </c>
      <c r="C23" s="2"/>
      <c r="D23" s="14"/>
      <c r="E23" s="2"/>
      <c r="F23" s="70">
        <f t="shared" si="1"/>
        <v>23924</v>
      </c>
      <c r="G23" s="73">
        <v>24289</v>
      </c>
      <c r="H23" s="66">
        <v>67.5</v>
      </c>
      <c r="I23" s="14"/>
      <c r="J23" s="2"/>
      <c r="K23" s="2"/>
      <c r="L23" s="2"/>
      <c r="M23" s="2"/>
      <c r="N23" s="2"/>
      <c r="O23" s="2"/>
    </row>
    <row r="24" spans="1:15" ht="15" x14ac:dyDescent="0.15">
      <c r="A24" s="8" t="s">
        <v>59</v>
      </c>
      <c r="B24" s="2">
        <f>LOOKUP($A$1,$B$73:$O$73,B74:O74)</f>
        <v>26288</v>
      </c>
      <c r="C24" s="2">
        <f>LOOKUP($A$1,$B$73:$O$73,B93:O93)</f>
        <v>6.3369999999999996E-2</v>
      </c>
      <c r="D24" s="17">
        <f ca="1">MIN(MAX(IF(A3&gt;B24,B22-((A3-B24)*C24),B22),B23),D12)</f>
        <v>0</v>
      </c>
      <c r="E24" s="2"/>
      <c r="F24" s="70">
        <f t="shared" si="1"/>
        <v>24289</v>
      </c>
      <c r="G24" s="73">
        <v>24654</v>
      </c>
      <c r="H24" s="66">
        <v>67.5</v>
      </c>
      <c r="I24" s="18"/>
      <c r="J24" s="2"/>
      <c r="K24" s="2"/>
      <c r="L24" s="2"/>
      <c r="M24" s="2"/>
      <c r="N24" s="2"/>
      <c r="O24" s="2"/>
    </row>
    <row r="25" spans="1:15" x14ac:dyDescent="0.15">
      <c r="A25" s="8"/>
      <c r="B25" s="2"/>
      <c r="C25" s="2"/>
      <c r="D25" s="20"/>
      <c r="E25" s="2"/>
      <c r="F25" s="70">
        <f t="shared" si="1"/>
        <v>24654</v>
      </c>
      <c r="G25" s="73">
        <v>24929</v>
      </c>
      <c r="H25" s="66">
        <v>67.75</v>
      </c>
      <c r="I25" s="2"/>
      <c r="J25" s="2"/>
      <c r="K25" s="2"/>
      <c r="L25" s="2"/>
      <c r="M25" s="20"/>
      <c r="N25" s="2"/>
      <c r="O25" s="22"/>
    </row>
    <row r="26" spans="1:15" x14ac:dyDescent="0.15">
      <c r="A26" s="8"/>
      <c r="B26" s="2"/>
      <c r="C26" s="2"/>
      <c r="D26" s="20"/>
      <c r="E26" s="2"/>
      <c r="F26" s="70">
        <f t="shared" si="1"/>
        <v>24929</v>
      </c>
      <c r="G26" s="73">
        <v>25294</v>
      </c>
      <c r="H26" s="66">
        <v>67.75</v>
      </c>
      <c r="I26" s="2"/>
      <c r="J26" s="2"/>
      <c r="K26" s="2"/>
      <c r="L26" s="2"/>
      <c r="M26" s="20"/>
      <c r="N26" s="2"/>
      <c r="O26" s="22"/>
    </row>
    <row r="27" spans="1:15" x14ac:dyDescent="0.15">
      <c r="A27" s="9" t="s">
        <v>60</v>
      </c>
      <c r="B27" s="14">
        <f>A2</f>
        <v>0</v>
      </c>
      <c r="C27" s="2"/>
      <c r="D27" s="2"/>
      <c r="E27" s="2"/>
      <c r="F27" s="70">
        <f t="shared" si="1"/>
        <v>25294</v>
      </c>
      <c r="G27" s="73">
        <v>25659</v>
      </c>
      <c r="H27" s="66">
        <v>67.75</v>
      </c>
      <c r="I27" s="2"/>
      <c r="J27" s="2"/>
      <c r="K27" s="2"/>
      <c r="L27" s="2"/>
      <c r="M27" s="2"/>
      <c r="N27" s="2"/>
      <c r="O27" s="2"/>
    </row>
    <row r="28" spans="1:15" x14ac:dyDescent="0.15">
      <c r="A28" s="8" t="s">
        <v>51</v>
      </c>
      <c r="B28" s="2">
        <f>LOOKUP($A$1,$B$96:$O$96,B97:O97)</f>
        <v>12169</v>
      </c>
      <c r="C28" s="2">
        <f>LOOKUP($A$1,$B$96:$O$96,B102:O102)</f>
        <v>8.0530000000000004E-2</v>
      </c>
      <c r="D28" s="14">
        <f>IF(B27&gt;$B28,$B28*$C28,B27*$C28)</f>
        <v>0</v>
      </c>
      <c r="E28" s="2"/>
      <c r="F28" s="70">
        <f t="shared" si="1"/>
        <v>25659</v>
      </c>
      <c r="G28" s="73">
        <v>25934</v>
      </c>
      <c r="H28" s="66">
        <v>68</v>
      </c>
      <c r="I28" s="14"/>
      <c r="J28" s="2"/>
      <c r="K28" s="2"/>
      <c r="L28" s="2"/>
      <c r="M28" s="2"/>
      <c r="N28" s="2"/>
      <c r="O28" s="2"/>
    </row>
    <row r="29" spans="1:15" x14ac:dyDescent="0.15">
      <c r="A29" s="8" t="s">
        <v>52</v>
      </c>
      <c r="B29" s="2">
        <f>LOOKUP($A$1,$B$96:$O$96,B98:O98)</f>
        <v>26288</v>
      </c>
      <c r="C29" s="2">
        <f>LOOKUP($A$1,$B$96:$O$96,B103:O103)</f>
        <v>0.30030000000000001</v>
      </c>
      <c r="D29" s="14">
        <f>MAX(IF(B27&gt;$B29,($B29-$B28)*$C29,(B27-$B28)*$C29),0)</f>
        <v>0</v>
      </c>
      <c r="E29" s="10"/>
      <c r="F29" s="70">
        <f t="shared" si="1"/>
        <v>25934</v>
      </c>
      <c r="G29" s="73">
        <v>26299</v>
      </c>
      <c r="H29" s="66">
        <v>68</v>
      </c>
      <c r="I29" s="14"/>
      <c r="J29" s="2"/>
      <c r="K29" s="10"/>
      <c r="L29" s="10"/>
      <c r="M29" s="10"/>
      <c r="N29" s="10"/>
      <c r="O29" s="10"/>
    </row>
    <row r="30" spans="1:15" x14ac:dyDescent="0.15">
      <c r="A30" s="8" t="s">
        <v>53</v>
      </c>
      <c r="B30" s="2">
        <f>LOOKUP($A$1,$B$96:$O$96,B99:O99)</f>
        <v>43071</v>
      </c>
      <c r="C30" s="2">
        <f>LOOKUP($A$1,$B$96:$O$96,B104:O104)</f>
        <v>2.2579999999999999E-2</v>
      </c>
      <c r="D30" s="14">
        <f>MAX(IF(B27&gt;$B30,($B30-$B29)*$C30,(B27-$B29)*$C30),0)</f>
        <v>0</v>
      </c>
      <c r="E30" s="2"/>
      <c r="F30" s="70">
        <f t="shared" si="1"/>
        <v>26299</v>
      </c>
      <c r="G30" s="73">
        <v>26665</v>
      </c>
      <c r="H30" s="66">
        <v>68</v>
      </c>
      <c r="I30" s="14"/>
      <c r="J30" s="2"/>
      <c r="K30" s="2"/>
      <c r="L30" s="2"/>
      <c r="M30" s="20"/>
      <c r="N30" s="2"/>
      <c r="O30" s="22"/>
    </row>
    <row r="31" spans="1:15" x14ac:dyDescent="0.15">
      <c r="A31" s="8" t="s">
        <v>54</v>
      </c>
      <c r="B31" s="2">
        <f>LOOKUP($A$1,$B$96:$O$96,B100:O100)</f>
        <v>129078</v>
      </c>
      <c r="C31" s="2">
        <f>-1*(LOOKUP($A$1,$B$96:$O$96,B105:O105))</f>
        <v>-6.5100000000000005E-2</v>
      </c>
      <c r="D31" s="14">
        <f>IF(B27&lt;B30,0,IF(B27&gt;$B31,($B31-$B30)*$C31,(B27-$B30)*$C31))</f>
        <v>0</v>
      </c>
      <c r="E31" s="2"/>
      <c r="F31" s="70">
        <f t="shared" si="1"/>
        <v>26665</v>
      </c>
      <c r="G31" s="73">
        <v>27030</v>
      </c>
      <c r="H31" s="66">
        <v>68.25</v>
      </c>
      <c r="I31" s="14"/>
      <c r="J31" s="2"/>
      <c r="K31" s="2"/>
      <c r="L31" s="2"/>
      <c r="M31" s="20"/>
      <c r="N31" s="2"/>
      <c r="O31" s="22"/>
    </row>
    <row r="32" spans="1:15" ht="15" x14ac:dyDescent="0.15">
      <c r="A32" s="8" t="s">
        <v>61</v>
      </c>
      <c r="B32" s="2">
        <f>LOOKUP($A$1,$B$96:$O$96,B107:O107)</f>
        <v>5599</v>
      </c>
      <c r="C32" s="2">
        <f>LOOKUP($A$1,$B$96:$O$96,B108:O108)</f>
        <v>0</v>
      </c>
      <c r="D32" s="17">
        <f>MAX(SUM(D28:D31),C32)</f>
        <v>0</v>
      </c>
      <c r="E32" s="2"/>
      <c r="F32" s="70">
        <f t="shared" si="1"/>
        <v>27030</v>
      </c>
      <c r="G32" s="73">
        <v>27395</v>
      </c>
      <c r="H32" s="66">
        <v>68.25</v>
      </c>
      <c r="I32" s="18"/>
      <c r="J32" s="2"/>
      <c r="K32" s="2"/>
      <c r="L32" s="2"/>
      <c r="M32" s="20"/>
      <c r="N32" s="2"/>
      <c r="O32" s="22"/>
    </row>
    <row r="33" spans="1:15" x14ac:dyDescent="0.15">
      <c r="A33" s="8"/>
      <c r="B33" s="2"/>
      <c r="C33" s="2"/>
      <c r="D33" s="14"/>
      <c r="E33" s="2"/>
      <c r="F33" s="70">
        <f t="shared" si="1"/>
        <v>27395</v>
      </c>
      <c r="G33" s="73">
        <v>27760</v>
      </c>
      <c r="H33" s="66">
        <v>68.25</v>
      </c>
      <c r="I33" s="2"/>
      <c r="J33" s="2"/>
      <c r="K33" s="2"/>
      <c r="L33" s="2"/>
      <c r="M33" s="20"/>
      <c r="N33" s="2"/>
      <c r="O33" s="22"/>
    </row>
    <row r="34" spans="1:15" x14ac:dyDescent="0.15">
      <c r="A34" s="8" t="s">
        <v>118</v>
      </c>
      <c r="B34" s="195">
        <f>'1'!E9+D37+D38+D40+D59+'1'!E41</f>
        <v>0</v>
      </c>
      <c r="C34" s="2"/>
      <c r="D34" s="14"/>
      <c r="E34" s="2"/>
      <c r="F34" s="70">
        <f t="shared" si="1"/>
        <v>27760</v>
      </c>
      <c r="G34" s="73">
        <v>28034</v>
      </c>
      <c r="H34" s="66">
        <v>68.25</v>
      </c>
      <c r="I34" s="14"/>
      <c r="J34" s="2"/>
      <c r="K34" s="2"/>
      <c r="L34" s="2"/>
      <c r="M34" s="20"/>
      <c r="N34" s="2"/>
      <c r="O34" s="22"/>
    </row>
    <row r="35" spans="1:15" ht="15" x14ac:dyDescent="0.15">
      <c r="A35" s="9" t="s">
        <v>119</v>
      </c>
      <c r="B35" s="13">
        <f>LOOKUP(A1,B73:O73,B110:O110)</f>
        <v>0.1202</v>
      </c>
      <c r="C35" s="2">
        <f>IF(MAX(A3+B34-B10,0)&gt;B34,B34,MAX((A3+B34-B10),0))</f>
        <v>0</v>
      </c>
      <c r="D35" s="23">
        <f>ROUNDDOWN(B35*C35,0)</f>
        <v>0</v>
      </c>
      <c r="E35" s="2"/>
      <c r="F35" s="70">
        <f t="shared" si="1"/>
        <v>28034</v>
      </c>
      <c r="G35" s="73">
        <v>28126</v>
      </c>
      <c r="H35" s="66">
        <v>68.5</v>
      </c>
      <c r="I35" s="24"/>
      <c r="J35" s="2"/>
      <c r="K35" s="2"/>
      <c r="L35" s="2"/>
      <c r="M35" s="20"/>
      <c r="N35" s="2"/>
      <c r="O35" s="22"/>
    </row>
    <row r="36" spans="1:15" x14ac:dyDescent="0.15">
      <c r="A36" s="8"/>
      <c r="B36" s="2"/>
      <c r="C36" s="2"/>
      <c r="D36" s="20"/>
      <c r="E36" s="2"/>
      <c r="F36" s="70">
        <f t="shared" si="1"/>
        <v>28126</v>
      </c>
      <c r="G36" s="73">
        <v>28672</v>
      </c>
      <c r="H36" s="66">
        <v>68.5</v>
      </c>
      <c r="I36" s="2"/>
      <c r="J36" s="2"/>
      <c r="K36" s="2"/>
      <c r="L36" s="2"/>
      <c r="M36" s="20"/>
      <c r="N36" s="2"/>
      <c r="O36" s="22"/>
    </row>
    <row r="37" spans="1:15" ht="15" x14ac:dyDescent="0.15">
      <c r="A37" s="9" t="s">
        <v>63</v>
      </c>
      <c r="B37" s="196" t="b">
        <v>0</v>
      </c>
      <c r="C37" s="2">
        <f>IF(B37,LOOKUP(A1,B129:O129,B130:O130),0)</f>
        <v>0</v>
      </c>
      <c r="D37" s="25">
        <f>MIN(C37,A2)</f>
        <v>0</v>
      </c>
      <c r="E37" s="2"/>
      <c r="F37" s="70">
        <f t="shared" si="1"/>
        <v>28672</v>
      </c>
      <c r="G37" s="73">
        <v>29037</v>
      </c>
      <c r="H37" s="66">
        <v>68.5</v>
      </c>
      <c r="I37" s="2"/>
      <c r="J37" s="2"/>
      <c r="K37" s="2"/>
      <c r="L37" s="2"/>
      <c r="M37" s="20"/>
      <c r="N37" s="2"/>
      <c r="O37" s="22"/>
    </row>
    <row r="38" spans="1:15" ht="15" x14ac:dyDescent="0.15">
      <c r="A38" s="9" t="s">
        <v>64</v>
      </c>
      <c r="B38" s="196" t="b">
        <v>0</v>
      </c>
      <c r="C38" s="2"/>
      <c r="D38" s="25">
        <f>IF(B37*B38,LOOKUP(A1,B129:O129,B131:O131),0)</f>
        <v>0</v>
      </c>
      <c r="E38" s="2"/>
      <c r="F38" s="70">
        <f t="shared" si="1"/>
        <v>29037</v>
      </c>
      <c r="G38" s="73">
        <v>29312</v>
      </c>
      <c r="H38" s="66">
        <v>68.75</v>
      </c>
      <c r="I38" s="2"/>
      <c r="J38" s="2"/>
      <c r="K38" s="2"/>
      <c r="L38" s="2"/>
      <c r="M38" s="20"/>
      <c r="N38" s="2"/>
      <c r="O38" s="22"/>
    </row>
    <row r="39" spans="1:15" ht="15" x14ac:dyDescent="0.15">
      <c r="A39" s="9"/>
      <c r="B39" s="26"/>
      <c r="C39" s="2"/>
      <c r="D39" s="27"/>
      <c r="E39" s="2"/>
      <c r="F39" s="70">
        <f t="shared" si="1"/>
        <v>29312</v>
      </c>
      <c r="G39" s="73">
        <v>29677</v>
      </c>
      <c r="H39" s="66">
        <v>68.75</v>
      </c>
      <c r="I39" s="2"/>
      <c r="J39" s="2"/>
      <c r="K39" s="2"/>
      <c r="L39" s="2"/>
      <c r="M39" s="20"/>
      <c r="N39" s="2"/>
      <c r="O39" s="22"/>
    </row>
    <row r="40" spans="1:15" ht="15" x14ac:dyDescent="0.15">
      <c r="A40" s="9" t="s">
        <v>65</v>
      </c>
      <c r="B40" s="207">
        <f>A2-D37-D38-D59-D50</f>
        <v>0</v>
      </c>
      <c r="C40" s="2">
        <f>LOOKUP(A1,B134:O134,B135:O135)</f>
        <v>0.127</v>
      </c>
      <c r="D40" s="29">
        <f>ROUNDUP(C40*B40,0)</f>
        <v>0</v>
      </c>
      <c r="E40" s="2"/>
      <c r="F40" s="70">
        <f t="shared" si="1"/>
        <v>29677</v>
      </c>
      <c r="G40" s="73">
        <v>30042</v>
      </c>
      <c r="H40" s="66">
        <v>68.75</v>
      </c>
      <c r="I40" s="2"/>
      <c r="J40" s="2"/>
      <c r="K40" s="2"/>
      <c r="L40" s="2"/>
      <c r="M40" s="20"/>
      <c r="N40" s="2"/>
      <c r="O40" s="22"/>
    </row>
    <row r="41" spans="1:15" ht="15" x14ac:dyDescent="0.15">
      <c r="A41" s="8"/>
      <c r="B41" s="26"/>
      <c r="C41" s="2"/>
      <c r="D41" s="27"/>
      <c r="E41" s="2"/>
      <c r="F41" s="70">
        <f t="shared" si="1"/>
        <v>30042</v>
      </c>
      <c r="G41" s="73">
        <v>30317</v>
      </c>
      <c r="H41" s="66">
        <v>69</v>
      </c>
      <c r="I41" s="2"/>
      <c r="J41" s="2"/>
      <c r="K41" s="2"/>
      <c r="L41" s="2"/>
      <c r="M41" s="20"/>
      <c r="N41" s="2"/>
      <c r="O41" s="22"/>
    </row>
    <row r="42" spans="1:15" x14ac:dyDescent="0.15">
      <c r="A42" s="9" t="s">
        <v>66</v>
      </c>
      <c r="B42" s="2">
        <f>LOOKUP(A1,B113:O113,B114:O114)</f>
        <v>6145</v>
      </c>
      <c r="C42" s="2">
        <f>LOOKUP(A1,B113:O113,B116:O116)</f>
        <v>0.1145</v>
      </c>
      <c r="D42" s="28">
        <f>ROUNDUP(IF(A3&gt;B42,(C42*(A3-B42))+B43,B43),0)</f>
        <v>0</v>
      </c>
      <c r="E42" s="2"/>
      <c r="F42" s="70">
        <f t="shared" si="1"/>
        <v>30317</v>
      </c>
      <c r="G42" s="73">
        <v>30682</v>
      </c>
      <c r="H42" s="66">
        <v>69</v>
      </c>
      <c r="I42" s="2"/>
      <c r="J42" s="2"/>
      <c r="K42" s="2"/>
      <c r="L42" s="2"/>
      <c r="M42" s="20"/>
      <c r="N42" s="2"/>
      <c r="O42" s="22"/>
    </row>
    <row r="43" spans="1:15" x14ac:dyDescent="0.15">
      <c r="A43" s="8" t="s">
        <v>67</v>
      </c>
      <c r="B43" s="2">
        <f>LOOKUP($A$1,$B$113:$O$113,B117:O117)</f>
        <v>0</v>
      </c>
      <c r="C43" s="2"/>
      <c r="D43" s="28"/>
      <c r="E43" s="2"/>
      <c r="F43" s="70">
        <f t="shared" si="1"/>
        <v>30682</v>
      </c>
      <c r="G43" s="73">
        <v>31048</v>
      </c>
      <c r="H43" s="66">
        <v>69</v>
      </c>
      <c r="I43" s="2"/>
      <c r="J43" s="2"/>
      <c r="K43" s="2"/>
      <c r="L43" s="2"/>
      <c r="M43" s="20"/>
      <c r="N43" s="2"/>
      <c r="O43" s="22"/>
    </row>
    <row r="44" spans="1:15" ht="15" x14ac:dyDescent="0.15">
      <c r="A44" s="8" t="s">
        <v>68</v>
      </c>
      <c r="B44" s="2">
        <f>LOOKUP($A$1,$B$113:$O$113,B118:O118)</f>
        <v>2986</v>
      </c>
      <c r="C44" s="2"/>
      <c r="D44" s="23">
        <f>MIN(D42,B44)</f>
        <v>0</v>
      </c>
      <c r="E44" s="2"/>
      <c r="F44" s="70">
        <f t="shared" si="1"/>
        <v>31048</v>
      </c>
      <c r="G44" s="73">
        <v>31413</v>
      </c>
      <c r="H44" s="66">
        <v>69</v>
      </c>
      <c r="I44" s="2"/>
      <c r="J44" s="2"/>
      <c r="K44" s="2"/>
      <c r="L44" s="2"/>
      <c r="M44" s="20"/>
      <c r="N44" s="2"/>
      <c r="O44" s="22"/>
    </row>
    <row r="45" spans="1:15" x14ac:dyDescent="0.15">
      <c r="A45" s="8"/>
      <c r="B45" s="2"/>
      <c r="C45" s="2"/>
      <c r="D45" s="20"/>
      <c r="E45" s="2"/>
      <c r="F45" s="70">
        <f t="shared" si="1"/>
        <v>31413</v>
      </c>
      <c r="G45" s="73">
        <v>31686</v>
      </c>
      <c r="H45" s="66">
        <v>69.25</v>
      </c>
      <c r="I45" s="2"/>
      <c r="J45" s="2"/>
      <c r="K45" s="2"/>
      <c r="L45" s="2"/>
      <c r="M45" s="20"/>
      <c r="N45" s="2"/>
      <c r="O45" s="22"/>
    </row>
    <row r="46" spans="1:15" ht="15" x14ac:dyDescent="0.15">
      <c r="A46" s="9" t="s">
        <v>69</v>
      </c>
      <c r="B46" s="2">
        <f>LOOKUP(A1,B120:O120,B123:O123)</f>
        <v>75864</v>
      </c>
      <c r="C46" s="49">
        <f>LOOKUP(A1,B120:O120,B122:O122)</f>
        <v>5.2600000000000001E-2</v>
      </c>
      <c r="D46" s="23">
        <f>IF($A$3&gt;B46,B46*C46,A3*C46)</f>
        <v>0</v>
      </c>
      <c r="E46" s="2"/>
      <c r="F46" s="70">
        <f t="shared" si="1"/>
        <v>31686</v>
      </c>
      <c r="G46" s="73">
        <v>32051</v>
      </c>
      <c r="H46" s="66">
        <v>69.25</v>
      </c>
      <c r="I46" s="2"/>
      <c r="J46" s="2"/>
      <c r="K46" s="2"/>
      <c r="L46" s="2"/>
      <c r="M46" s="20"/>
      <c r="N46" s="2"/>
      <c r="O46" s="22"/>
    </row>
    <row r="47" spans="1:15" ht="15" x14ac:dyDescent="0.15">
      <c r="A47" s="9" t="s">
        <v>70</v>
      </c>
      <c r="B47" s="2">
        <f>LOOKUP(A1,B120:O120,B123:O123)</f>
        <v>75864</v>
      </c>
      <c r="C47" s="2">
        <f>LOOKUP(A1,B120:O120,B121:O121)</f>
        <v>6.5100000000000005E-2</v>
      </c>
      <c r="D47" s="23">
        <f>IF($A$3&gt;B47,B47*C47,A3*C47)</f>
        <v>0</v>
      </c>
      <c r="E47" s="2"/>
      <c r="F47" s="70">
        <f t="shared" si="1"/>
        <v>32051</v>
      </c>
      <c r="G47" s="73">
        <v>32417</v>
      </c>
      <c r="H47" s="66">
        <v>69.25</v>
      </c>
      <c r="I47" s="2"/>
      <c r="J47" s="2"/>
      <c r="K47" s="2"/>
      <c r="L47" s="2"/>
      <c r="M47" s="20"/>
      <c r="N47" s="2"/>
      <c r="O47" s="22"/>
    </row>
    <row r="48" spans="1:15" x14ac:dyDescent="0.15">
      <c r="A48" s="8"/>
      <c r="B48" s="2"/>
      <c r="C48" s="2"/>
      <c r="D48" s="20"/>
      <c r="E48" s="2"/>
      <c r="F48" s="70">
        <f t="shared" si="1"/>
        <v>32417</v>
      </c>
      <c r="G48" s="73">
        <v>32782</v>
      </c>
      <c r="H48" s="66">
        <v>69.25</v>
      </c>
      <c r="I48" s="2"/>
      <c r="J48" s="2"/>
      <c r="K48" s="2"/>
      <c r="L48" s="2"/>
      <c r="M48" s="20"/>
      <c r="N48" s="2"/>
      <c r="O48" s="22"/>
    </row>
    <row r="49" spans="1:15" x14ac:dyDescent="0.15">
      <c r="A49" s="9" t="s">
        <v>71</v>
      </c>
      <c r="B49" s="2">
        <f>LOOKUP(A1,B125:O125,B127:O127)</f>
        <v>0</v>
      </c>
      <c r="C49" s="2">
        <f>LOOKUP(A1,B125:O125,B126:O126)</f>
        <v>0</v>
      </c>
      <c r="D49" s="42">
        <f>MIN(A2*C49,B49)</f>
        <v>0</v>
      </c>
      <c r="E49" s="2"/>
      <c r="F49" s="70">
        <f t="shared" si="1"/>
        <v>32782</v>
      </c>
      <c r="G49" s="73">
        <v>34151</v>
      </c>
      <c r="H49" s="66">
        <v>69.5</v>
      </c>
      <c r="I49" s="2"/>
      <c r="J49" s="2"/>
      <c r="K49" s="2"/>
      <c r="L49" s="2"/>
      <c r="M49" s="20"/>
      <c r="N49" s="2"/>
      <c r="O49" s="22"/>
    </row>
    <row r="50" spans="1:15" ht="15" x14ac:dyDescent="0.15">
      <c r="A50" s="8" t="b">
        <v>0</v>
      </c>
      <c r="B50" s="2">
        <f>B37*A50</f>
        <v>0</v>
      </c>
      <c r="C50" s="2"/>
      <c r="D50" s="23">
        <f>IF(B50=1,D49,0)</f>
        <v>0</v>
      </c>
      <c r="E50" s="2"/>
      <c r="F50" s="70">
        <f t="shared" si="1"/>
        <v>34151</v>
      </c>
      <c r="G50" s="51">
        <v>35521</v>
      </c>
      <c r="H50" s="66">
        <v>69.75</v>
      </c>
      <c r="I50" s="2"/>
      <c r="J50" s="2"/>
      <c r="K50" s="2"/>
      <c r="L50" s="2"/>
      <c r="M50" s="20"/>
      <c r="N50" s="2"/>
      <c r="O50" s="22"/>
    </row>
    <row r="51" spans="1:15" x14ac:dyDescent="0.15">
      <c r="A51" s="8"/>
      <c r="B51" s="2"/>
      <c r="C51" s="2"/>
      <c r="D51" s="20"/>
      <c r="E51" s="2"/>
      <c r="F51" s="70">
        <f t="shared" si="1"/>
        <v>35521</v>
      </c>
      <c r="G51" s="43">
        <v>36892</v>
      </c>
      <c r="H51" s="2">
        <v>70</v>
      </c>
      <c r="I51" s="2"/>
      <c r="J51" s="2"/>
      <c r="K51" s="2"/>
      <c r="L51" s="2"/>
      <c r="M51" s="20"/>
      <c r="N51" s="2"/>
      <c r="O51" s="22"/>
    </row>
    <row r="52" spans="1:15" ht="15" x14ac:dyDescent="0.15">
      <c r="A52" s="9" t="s">
        <v>6</v>
      </c>
      <c r="B52" s="197">
        <f>'1'!E8</f>
        <v>0</v>
      </c>
      <c r="C52" s="2"/>
      <c r="D52" s="17">
        <f>SUM(D53:D57)</f>
        <v>0</v>
      </c>
      <c r="E52" s="2"/>
      <c r="F52" s="70">
        <f t="shared" si="1"/>
        <v>36892</v>
      </c>
      <c r="G52" s="14"/>
      <c r="H52" s="2">
        <v>70</v>
      </c>
      <c r="I52" s="2"/>
      <c r="J52" s="2"/>
      <c r="K52" s="2"/>
      <c r="L52" s="2"/>
      <c r="M52" s="20"/>
      <c r="N52" s="2"/>
      <c r="O52" s="22"/>
    </row>
    <row r="53" spans="1:15" x14ac:dyDescent="0.15">
      <c r="A53" s="8" t="s">
        <v>51</v>
      </c>
      <c r="B53" s="2">
        <f>A139</f>
        <v>12500</v>
      </c>
      <c r="C53" s="13">
        <f>LOOKUP($A$1,$B$137:$O$137,B139:O139)</f>
        <v>1E-3</v>
      </c>
      <c r="D53" s="2">
        <f>IF($B$52&lt;B53,0,IF($B$52&lt;B54,$B$52*C53,0))</f>
        <v>0</v>
      </c>
      <c r="E53" s="2"/>
      <c r="F53" s="22"/>
      <c r="G53" s="14"/>
      <c r="H53" s="2"/>
      <c r="I53" s="2"/>
      <c r="J53" s="2"/>
      <c r="K53" s="2"/>
      <c r="L53" s="2"/>
      <c r="M53" s="20"/>
      <c r="N53" s="2"/>
      <c r="O53" s="22"/>
    </row>
    <row r="54" spans="1:15" x14ac:dyDescent="0.15">
      <c r="A54" s="8" t="s">
        <v>52</v>
      </c>
      <c r="B54" s="2">
        <f>A140</f>
        <v>25000</v>
      </c>
      <c r="C54" s="13">
        <f>LOOKUP($A$1,$B$137:$O$137,B140:O140)</f>
        <v>2E-3</v>
      </c>
      <c r="D54" s="2">
        <f>IF($B$52&lt;B54,0,IF($B$52&lt;B55,$B$52*C54,0))</f>
        <v>0</v>
      </c>
      <c r="E54" s="2"/>
      <c r="F54" s="22"/>
      <c r="G54" s="14"/>
      <c r="H54" s="2"/>
      <c r="I54" s="2"/>
      <c r="J54" s="2"/>
      <c r="K54" s="2"/>
      <c r="L54" s="2"/>
      <c r="M54" s="20"/>
      <c r="N54" s="2"/>
      <c r="O54" s="22"/>
    </row>
    <row r="55" spans="1:15" x14ac:dyDescent="0.15">
      <c r="A55" s="8" t="s">
        <v>53</v>
      </c>
      <c r="B55" s="2">
        <f>A141</f>
        <v>50000</v>
      </c>
      <c r="C55" s="13">
        <f>LOOKUP($A$1,$B$137:$O$137,B141:O141)</f>
        <v>2.5000000000000001E-3</v>
      </c>
      <c r="D55" s="2">
        <f>IF($B$52&lt;B55,0,IF($B$52&lt;B56,$B$52*C55,0))</f>
        <v>0</v>
      </c>
      <c r="E55" s="2"/>
      <c r="F55" s="22"/>
      <c r="G55" s="14"/>
      <c r="H55" s="2"/>
      <c r="I55" s="2"/>
      <c r="J55" s="2"/>
      <c r="K55" s="2"/>
      <c r="L55" s="2"/>
      <c r="M55" s="20"/>
      <c r="N55" s="2"/>
      <c r="O55" s="22"/>
    </row>
    <row r="56" spans="1:15" x14ac:dyDescent="0.15">
      <c r="A56" s="8" t="s">
        <v>54</v>
      </c>
      <c r="B56" s="2">
        <f>A142</f>
        <v>75000</v>
      </c>
      <c r="C56" s="13">
        <f>LOOKUP($A$1,$B$137:$O$137,B142:O142)</f>
        <v>3.5000000000000001E-3</v>
      </c>
      <c r="D56" s="2">
        <f>IF($B$52&lt;B56,0,IF($B$52&lt;B57,$B$52*C56,0))</f>
        <v>0</v>
      </c>
      <c r="E56" s="2"/>
      <c r="F56" s="22"/>
      <c r="G56" s="14"/>
      <c r="H56" s="2"/>
      <c r="I56" s="2"/>
      <c r="J56" s="2"/>
      <c r="K56" s="2"/>
      <c r="L56" s="2"/>
      <c r="M56" s="20"/>
      <c r="N56" s="2"/>
      <c r="O56" s="22"/>
    </row>
    <row r="57" spans="1:15" x14ac:dyDescent="0.15">
      <c r="A57" s="8" t="s">
        <v>72</v>
      </c>
      <c r="B57" s="2">
        <f>A143</f>
        <v>1330000</v>
      </c>
      <c r="C57" s="13">
        <f>LOOKUP($A$1,$B$137:$O$137,B143:O143)</f>
        <v>2.35E-2</v>
      </c>
      <c r="D57" s="2">
        <f>IF($B$52&gt;B57,(C56*B57)+(C57*(B52-B57)),0)</f>
        <v>0</v>
      </c>
      <c r="E57" s="2"/>
      <c r="F57" s="22"/>
      <c r="G57" s="14"/>
      <c r="H57" s="2"/>
      <c r="I57" s="2"/>
      <c r="J57" s="2"/>
      <c r="K57" s="2"/>
      <c r="L57" s="2"/>
      <c r="M57" s="20"/>
      <c r="N57" s="2"/>
      <c r="O57" s="22"/>
    </row>
    <row r="58" spans="1:15" x14ac:dyDescent="0.15">
      <c r="A58" s="8"/>
      <c r="B58" s="2"/>
      <c r="C58" s="2"/>
      <c r="D58" s="20"/>
      <c r="E58" s="2"/>
      <c r="F58" s="22"/>
      <c r="G58" s="14"/>
      <c r="H58" s="2"/>
      <c r="I58" s="2"/>
      <c r="J58" s="2"/>
      <c r="K58" s="2"/>
      <c r="L58" s="2"/>
      <c r="M58" s="20"/>
      <c r="N58" s="2"/>
      <c r="O58" s="22"/>
    </row>
    <row r="59" spans="1:15" ht="15" x14ac:dyDescent="0.15">
      <c r="A59" s="9" t="s">
        <v>19</v>
      </c>
      <c r="B59" s="197">
        <f>'1'!E29</f>
        <v>0</v>
      </c>
      <c r="C59" s="2" t="b">
        <f>B37</f>
        <v>0</v>
      </c>
      <c r="D59" s="29">
        <f>IF(AND('1'!E30&lt;5000,'1'!E29&gt;525,B37),SUM(D60:D63),0)</f>
        <v>0</v>
      </c>
      <c r="E59" s="2"/>
      <c r="F59" s="22"/>
      <c r="G59" s="14"/>
      <c r="H59" s="2"/>
      <c r="I59" s="2"/>
      <c r="J59" s="2"/>
      <c r="K59" s="2"/>
      <c r="L59" s="2"/>
      <c r="M59" s="20"/>
      <c r="N59" s="2"/>
      <c r="O59" s="22"/>
    </row>
    <row r="60" spans="1:15" x14ac:dyDescent="0.15">
      <c r="A60" s="8" t="s">
        <v>51</v>
      </c>
      <c r="B60" s="2">
        <v>525</v>
      </c>
      <c r="C60" s="20">
        <v>1.2500000000000001E-2</v>
      </c>
      <c r="D60" s="2">
        <f>IF($B$59&lt;B60,0,IF($B$59&lt;B61,$A$2*C60,0))</f>
        <v>0</v>
      </c>
      <c r="E60" s="2"/>
      <c r="F60" s="22"/>
      <c r="G60" s="14"/>
      <c r="H60" s="2"/>
      <c r="I60" s="2"/>
      <c r="J60" s="2"/>
      <c r="K60" s="2"/>
      <c r="L60" s="2"/>
      <c r="M60" s="20"/>
      <c r="N60" s="2"/>
      <c r="O60" s="22"/>
    </row>
    <row r="61" spans="1:15" x14ac:dyDescent="0.15">
      <c r="A61" s="8" t="s">
        <v>52</v>
      </c>
      <c r="B61" s="2">
        <v>875</v>
      </c>
      <c r="C61" s="19">
        <v>0.02</v>
      </c>
      <c r="D61" s="2">
        <f>IF($B$59&lt;B61,0,IF($B$59&lt;B62,$A$2*C61,0))</f>
        <v>0</v>
      </c>
      <c r="E61" s="2"/>
      <c r="F61" s="22"/>
      <c r="G61" s="14"/>
      <c r="H61" s="2"/>
      <c r="I61" s="2"/>
      <c r="J61" s="2"/>
      <c r="K61" s="2"/>
      <c r="L61" s="2"/>
      <c r="M61" s="20"/>
      <c r="N61" s="2"/>
      <c r="O61" s="22"/>
    </row>
    <row r="62" spans="1:15" x14ac:dyDescent="0.15">
      <c r="A62" s="8" t="s">
        <v>53</v>
      </c>
      <c r="B62" s="2">
        <v>1225</v>
      </c>
      <c r="C62" s="19">
        <v>0.03</v>
      </c>
      <c r="D62" s="2">
        <f>IF($B$59&lt;B62,0,IF($B$59&lt;B63,$A$2*C62,0))</f>
        <v>0</v>
      </c>
      <c r="E62" s="2"/>
      <c r="F62" s="22"/>
      <c r="G62" s="14"/>
      <c r="H62" s="2"/>
      <c r="I62" s="2"/>
      <c r="J62" s="2"/>
      <c r="K62" s="2"/>
      <c r="L62" s="2"/>
      <c r="M62" s="20"/>
      <c r="N62" s="2"/>
      <c r="O62" s="22"/>
    </row>
    <row r="63" spans="1:15" x14ac:dyDescent="0.15">
      <c r="A63" s="8" t="s">
        <v>54</v>
      </c>
      <c r="B63" s="2">
        <v>1750</v>
      </c>
      <c r="C63" s="19">
        <v>0.04</v>
      </c>
      <c r="D63" s="2">
        <f>IF($B$59&lt;B63,0,$A$2*C63)</f>
        <v>0</v>
      </c>
      <c r="E63" s="2"/>
      <c r="F63" s="22"/>
      <c r="G63" s="14"/>
      <c r="H63" s="2"/>
      <c r="I63" s="2"/>
      <c r="J63" s="2"/>
      <c r="K63" s="2"/>
      <c r="L63" s="2"/>
      <c r="M63" s="20"/>
      <c r="N63" s="2"/>
      <c r="O63" s="22"/>
    </row>
    <row r="64" spans="1:15" x14ac:dyDescent="0.15">
      <c r="A64" s="8"/>
      <c r="B64" s="2"/>
      <c r="C64" s="2"/>
      <c r="D64" s="20"/>
      <c r="E64" s="2"/>
      <c r="F64" s="22"/>
      <c r="G64" s="14"/>
      <c r="H64" s="2"/>
      <c r="I64" s="2"/>
      <c r="J64" s="2"/>
      <c r="K64" s="2"/>
      <c r="L64" s="2"/>
      <c r="M64" s="20"/>
      <c r="N64" s="2"/>
      <c r="O64" s="22"/>
    </row>
    <row r="65" spans="1:15" ht="15" x14ac:dyDescent="0.15">
      <c r="A65" s="9" t="s">
        <v>73</v>
      </c>
      <c r="B65" s="2"/>
      <c r="C65" s="2"/>
      <c r="D65" s="30">
        <f ca="1">(1/(1+B66))^(B68-B67)</f>
        <v>1</v>
      </c>
      <c r="E65" s="2"/>
      <c r="F65" s="22"/>
      <c r="G65" s="14"/>
      <c r="H65" s="2"/>
      <c r="I65" s="2"/>
      <c r="J65" s="2"/>
      <c r="K65" s="2"/>
      <c r="L65" s="2"/>
      <c r="M65" s="20"/>
      <c r="N65" s="2"/>
      <c r="O65" s="22"/>
    </row>
    <row r="66" spans="1:15" x14ac:dyDescent="0.15">
      <c r="A66" s="8" t="s">
        <v>74</v>
      </c>
      <c r="B66" s="198">
        <f>'1'!E16</f>
        <v>0</v>
      </c>
      <c r="C66" s="2"/>
      <c r="D66" s="20"/>
      <c r="E66" s="2"/>
      <c r="F66" s="22"/>
      <c r="G66" s="14"/>
      <c r="H66" s="2"/>
      <c r="I66" s="2"/>
      <c r="J66" s="2"/>
      <c r="K66" s="2"/>
      <c r="L66" s="2"/>
      <c r="M66" s="20"/>
      <c r="N66" s="2"/>
      <c r="O66" s="22"/>
    </row>
    <row r="67" spans="1:15" x14ac:dyDescent="0.15">
      <c r="A67" s="8" t="s">
        <v>75</v>
      </c>
      <c r="B67" s="197">
        <f ca="1">YEARFRAC(A4,C67)</f>
        <v>25.255555555555556</v>
      </c>
      <c r="C67" s="43">
        <f ca="1">TODAY()</f>
        <v>45750</v>
      </c>
      <c r="D67" s="44"/>
      <c r="E67" s="2"/>
      <c r="F67" s="22"/>
      <c r="G67" s="14"/>
      <c r="H67" s="2"/>
      <c r="I67" s="2"/>
      <c r="J67" s="2"/>
      <c r="K67" s="2"/>
      <c r="L67" s="2"/>
      <c r="M67" s="20"/>
      <c r="N67" s="2"/>
      <c r="O67" s="22"/>
    </row>
    <row r="68" spans="1:15" x14ac:dyDescent="0.15">
      <c r="A68" s="8" t="s">
        <v>76</v>
      </c>
      <c r="B68" s="199">
        <f>'1'!E19</f>
        <v>70</v>
      </c>
      <c r="C68" s="2"/>
      <c r="D68" s="20"/>
      <c r="E68" s="2"/>
      <c r="F68" s="22"/>
      <c r="G68" s="14"/>
      <c r="H68" s="2"/>
      <c r="I68" s="2"/>
      <c r="J68" s="2"/>
      <c r="K68" s="2"/>
      <c r="L68" s="2"/>
      <c r="M68" s="20"/>
      <c r="N68" s="2"/>
      <c r="O68" s="22"/>
    </row>
    <row r="69" spans="1:15" x14ac:dyDescent="0.15">
      <c r="A69" s="8"/>
      <c r="B69" s="2"/>
      <c r="C69" s="2"/>
      <c r="D69" s="20"/>
      <c r="E69" s="2"/>
      <c r="F69" s="22"/>
      <c r="G69" s="14"/>
      <c r="H69" s="2"/>
      <c r="I69" s="2"/>
      <c r="J69" s="2"/>
      <c r="K69" s="2"/>
      <c r="L69" s="2"/>
      <c r="M69" s="20"/>
      <c r="N69" s="2"/>
      <c r="O69" s="22"/>
    </row>
    <row r="70" spans="1:15" ht="15" x14ac:dyDescent="0.15">
      <c r="A70" s="31" t="s">
        <v>77</v>
      </c>
      <c r="B70" s="2"/>
      <c r="C70" s="2"/>
      <c r="D70" s="2"/>
      <c r="E70" s="2"/>
      <c r="F70" s="2"/>
      <c r="G70" s="32"/>
      <c r="H70" s="32"/>
      <c r="I70" s="2"/>
      <c r="J70" s="2"/>
      <c r="K70" s="2"/>
      <c r="L70" s="2"/>
      <c r="M70" s="2"/>
      <c r="N70" s="2"/>
      <c r="O70" s="2"/>
    </row>
    <row r="71" spans="1:15" x14ac:dyDescent="0.15">
      <c r="A71" s="8"/>
      <c r="B71" s="2"/>
      <c r="C71" s="2"/>
      <c r="D71" s="2"/>
      <c r="E71" s="2"/>
      <c r="F71" s="2"/>
      <c r="G71" s="2"/>
      <c r="H71" s="2"/>
      <c r="I71" s="2"/>
      <c r="J71" s="2"/>
      <c r="K71" s="2"/>
      <c r="L71" s="2"/>
      <c r="M71" s="2"/>
      <c r="N71" s="2"/>
      <c r="O71" s="2"/>
    </row>
    <row r="72" spans="1:15" x14ac:dyDescent="0.15">
      <c r="A72" s="9" t="s">
        <v>26</v>
      </c>
      <c r="B72" s="10"/>
      <c r="C72" s="10"/>
      <c r="D72" s="10"/>
      <c r="E72" s="11"/>
      <c r="F72" s="11"/>
      <c r="G72" s="2"/>
      <c r="H72" s="10"/>
      <c r="I72" s="10"/>
      <c r="J72" s="10"/>
      <c r="K72" s="10"/>
      <c r="L72" s="10"/>
      <c r="M72" s="10"/>
      <c r="N72" s="11"/>
      <c r="O72" s="11"/>
    </row>
    <row r="73" spans="1:15" x14ac:dyDescent="0.15">
      <c r="A73" s="9"/>
      <c r="B73" s="33">
        <v>2012</v>
      </c>
      <c r="C73" s="33">
        <v>2013</v>
      </c>
      <c r="D73" s="33">
        <v>2014</v>
      </c>
      <c r="E73" s="33">
        <v>2015</v>
      </c>
      <c r="F73" s="33">
        <v>2016</v>
      </c>
      <c r="G73" s="33">
        <v>2017</v>
      </c>
      <c r="H73" s="33">
        <v>2018</v>
      </c>
      <c r="I73" s="33">
        <v>2019</v>
      </c>
      <c r="J73" s="33">
        <v>2020</v>
      </c>
      <c r="K73" s="33">
        <v>2021</v>
      </c>
      <c r="L73" s="33">
        <v>2022</v>
      </c>
      <c r="M73" s="171">
        <v>2023</v>
      </c>
      <c r="N73" s="33">
        <v>2024</v>
      </c>
      <c r="O73" s="33">
        <v>2025</v>
      </c>
    </row>
    <row r="74" spans="1:15" x14ac:dyDescent="0.15">
      <c r="A74" s="8" t="s">
        <v>78</v>
      </c>
      <c r="B74" s="50">
        <v>18945</v>
      </c>
      <c r="C74" s="50">
        <v>19645</v>
      </c>
      <c r="D74" s="50">
        <v>19645</v>
      </c>
      <c r="E74" s="50">
        <v>19822</v>
      </c>
      <c r="F74" s="50">
        <v>19922</v>
      </c>
      <c r="G74" s="50">
        <v>19982</v>
      </c>
      <c r="H74" s="50">
        <v>20142</v>
      </c>
      <c r="I74" s="50">
        <v>20384</v>
      </c>
      <c r="J74" s="50">
        <v>20711</v>
      </c>
      <c r="K74" s="50">
        <v>21043</v>
      </c>
      <c r="L74" s="50">
        <v>21317</v>
      </c>
      <c r="M74" s="172">
        <v>22660</v>
      </c>
      <c r="N74" s="50">
        <v>24821</v>
      </c>
      <c r="O74" s="50">
        <v>26288</v>
      </c>
    </row>
    <row r="75" spans="1:15" x14ac:dyDescent="0.15">
      <c r="A75" s="8"/>
      <c r="B75" s="50">
        <f>IF($A$4&lt;1946-1-1,34055,33863)</f>
        <v>33863</v>
      </c>
      <c r="C75" s="50">
        <f>IF($A$4&lt;1946-1-1,33555,33363)</f>
        <v>33363</v>
      </c>
      <c r="D75" s="50">
        <f>IF($A$4&lt;1946-1-1,33555,33363)</f>
        <v>33363</v>
      </c>
      <c r="E75" s="50">
        <f>IF($A$4&lt;1946-1-1,33857,33589)</f>
        <v>33589</v>
      </c>
      <c r="F75" s="50">
        <f>IF($A$4&lt;1946-1-1,34027,33715)</f>
        <v>33715</v>
      </c>
      <c r="G75" s="50">
        <f>IF($A$4&lt;1946-1-1,34130,33791)</f>
        <v>33791</v>
      </c>
      <c r="H75" s="50">
        <f>IF($A$4&lt;1946-1-1,34404,33994)</f>
        <v>33994</v>
      </c>
      <c r="I75" s="50">
        <f>IF($A$4&lt;1946-1-1,34817,34300)</f>
        <v>34300</v>
      </c>
      <c r="J75" s="50">
        <f>IF($A$4&lt;1946-1-1,35375,34712)</f>
        <v>34712</v>
      </c>
      <c r="K75" s="50">
        <f>IF($A$4&lt;1946-1-1,35941,35129)</f>
        <v>35129</v>
      </c>
      <c r="L75" s="50">
        <f>IF($A$4&lt;1946-1-1,36409,35472)</f>
        <v>35472</v>
      </c>
      <c r="M75" s="172">
        <f>IF($A$4&lt;1946-1-1,38703,37149)</f>
        <v>37149</v>
      </c>
      <c r="N75" s="50">
        <f>IF($A$4&lt;1946-1-1,40021,38098)</f>
        <v>38098</v>
      </c>
      <c r="O75" s="50">
        <v>38441</v>
      </c>
    </row>
    <row r="76" spans="1:15" x14ac:dyDescent="0.15">
      <c r="A76" s="8"/>
      <c r="B76" s="50">
        <v>56491</v>
      </c>
      <c r="C76" s="50">
        <v>55991</v>
      </c>
      <c r="D76" s="50">
        <v>56531</v>
      </c>
      <c r="E76" s="50">
        <v>57585</v>
      </c>
      <c r="F76" s="50">
        <v>66421</v>
      </c>
      <c r="G76" s="50">
        <v>67072</v>
      </c>
      <c r="H76" s="50">
        <v>68507</v>
      </c>
      <c r="I76" s="50">
        <v>68507</v>
      </c>
      <c r="J76" s="50">
        <v>68507</v>
      </c>
      <c r="K76" s="50">
        <v>68507</v>
      </c>
      <c r="L76" s="50">
        <v>69398</v>
      </c>
      <c r="M76" s="172">
        <v>73031</v>
      </c>
      <c r="N76" s="50">
        <v>75518</v>
      </c>
      <c r="O76" s="50">
        <v>76817</v>
      </c>
    </row>
    <row r="77" spans="1:15" x14ac:dyDescent="0.15">
      <c r="A77" s="8"/>
      <c r="B77" s="2"/>
      <c r="C77" s="2"/>
      <c r="D77" s="2"/>
      <c r="E77" s="2"/>
      <c r="F77" s="2"/>
      <c r="G77" s="2"/>
      <c r="H77" s="2"/>
      <c r="I77" s="2"/>
      <c r="J77" s="2"/>
      <c r="K77" s="2"/>
      <c r="L77" s="2"/>
      <c r="M77" s="26"/>
      <c r="N77" s="2"/>
      <c r="O77" s="2"/>
    </row>
    <row r="78" spans="1:15" x14ac:dyDescent="0.15">
      <c r="A78" s="8" t="s">
        <v>79</v>
      </c>
      <c r="B78" s="51">
        <v>17168</v>
      </c>
      <c r="C78" s="43">
        <v>17533</v>
      </c>
      <c r="D78" s="51">
        <v>17868</v>
      </c>
      <c r="E78" s="51">
        <v>18203</v>
      </c>
      <c r="F78" s="51">
        <v>18537</v>
      </c>
      <c r="G78" s="51">
        <v>18810</v>
      </c>
      <c r="H78" s="51">
        <v>19085</v>
      </c>
      <c r="I78" s="51">
        <v>19360</v>
      </c>
      <c r="J78" s="51">
        <v>19603</v>
      </c>
      <c r="K78" s="51">
        <v>19968</v>
      </c>
      <c r="L78" s="51">
        <v>20090</v>
      </c>
      <c r="M78" s="70">
        <v>20607</v>
      </c>
      <c r="N78" s="51">
        <v>20880</v>
      </c>
      <c r="O78" s="51">
        <v>21186</v>
      </c>
    </row>
    <row r="79" spans="1:15" x14ac:dyDescent="0.15">
      <c r="A79" s="8" t="s">
        <v>80</v>
      </c>
      <c r="B79" s="2" t="b">
        <f t="shared" ref="B79:O79" si="2">$A$4&lt;B78</f>
        <v>0</v>
      </c>
      <c r="C79" s="2" t="b">
        <f t="shared" si="2"/>
        <v>0</v>
      </c>
      <c r="D79" s="2" t="b">
        <f t="shared" si="2"/>
        <v>0</v>
      </c>
      <c r="E79" s="2" t="b">
        <f t="shared" si="2"/>
        <v>0</v>
      </c>
      <c r="F79" s="2" t="b">
        <f t="shared" si="2"/>
        <v>0</v>
      </c>
      <c r="G79" s="2" t="b">
        <f t="shared" si="2"/>
        <v>0</v>
      </c>
      <c r="H79" s="2" t="b">
        <f t="shared" si="2"/>
        <v>0</v>
      </c>
      <c r="I79" s="2" t="b">
        <f t="shared" si="2"/>
        <v>0</v>
      </c>
      <c r="J79" s="2" t="b">
        <f t="shared" si="2"/>
        <v>0</v>
      </c>
      <c r="K79" s="2" t="b">
        <f t="shared" si="2"/>
        <v>0</v>
      </c>
      <c r="L79" s="2" t="b">
        <f t="shared" si="2"/>
        <v>0</v>
      </c>
      <c r="M79" s="26" t="b">
        <f t="shared" si="2"/>
        <v>0</v>
      </c>
      <c r="N79" s="2" t="b">
        <f t="shared" si="2"/>
        <v>0</v>
      </c>
      <c r="O79" s="2" t="b">
        <f t="shared" si="2"/>
        <v>0</v>
      </c>
    </row>
    <row r="80" spans="1:15" x14ac:dyDescent="0.15">
      <c r="A80" s="8" t="s">
        <v>81</v>
      </c>
      <c r="B80" s="20">
        <f>IF(B$79=TRUE,15.2%,33.1%)</f>
        <v>0.33100000000000002</v>
      </c>
      <c r="C80" s="20">
        <f>IF(C$79=TRUE,19.1%,37%)</f>
        <v>0.37</v>
      </c>
      <c r="D80" s="20">
        <f>IF(D$79=TRUE,18.35%,36.25%)</f>
        <v>0.36249999999999999</v>
      </c>
      <c r="E80" s="20">
        <f>IF(E$79=TRUE,18.6%,36.5%)</f>
        <v>0.36499999999999999</v>
      </c>
      <c r="F80" s="20">
        <f>IF(F$79=TRUE,18.65%,36.55%)</f>
        <v>0.36549999999999999</v>
      </c>
      <c r="G80" s="20">
        <f>IF(G$79=TRUE,18.65%,36.55%)</f>
        <v>0.36549999999999999</v>
      </c>
      <c r="H80" s="20">
        <f>IF(H$79=TRUE,18.65%,36.55%)</f>
        <v>0.36549999999999999</v>
      </c>
      <c r="I80" s="20">
        <f>IF(I79=TRUE,18.75%,36.65%)</f>
        <v>0.36649999999999999</v>
      </c>
      <c r="J80" s="20">
        <f>IF(J79=TRUE,19.45%,37.35%)</f>
        <v>0.3735</v>
      </c>
      <c r="K80" s="20">
        <f>IF(K79=TRUE,19.2%,37.1%)</f>
        <v>0.371</v>
      </c>
      <c r="L80" s="20">
        <f>IF(L79=TRUE,19.17%,37.07%)</f>
        <v>0.37070000000000003</v>
      </c>
      <c r="M80" s="173">
        <f>IF(M79=TRUE,19.03%,36.93%)</f>
        <v>0.36930000000000002</v>
      </c>
      <c r="N80" s="20">
        <v>0.36969999999999997</v>
      </c>
      <c r="O80" s="20">
        <v>0.35820000000000002</v>
      </c>
    </row>
    <row r="81" spans="1:15" x14ac:dyDescent="0.15">
      <c r="A81" s="8" t="s">
        <v>82</v>
      </c>
      <c r="B81" s="20">
        <f>IF(B$79=TRUE,24.05%,41.95%)</f>
        <v>0.41950000000000004</v>
      </c>
      <c r="C81" s="20">
        <f>IF(C$79=TRUE,24.1%,42%)</f>
        <v>0.42</v>
      </c>
      <c r="D81" s="20">
        <f>IF(D$79=TRUE,24.1%,42%)</f>
        <v>0.42</v>
      </c>
      <c r="E81" s="20">
        <f>IF(E$79=TRUE,24.1%,42%)</f>
        <v>0.42</v>
      </c>
      <c r="F81" s="20">
        <f>IF(F$79=TRUE,22.5%,40.4%)</f>
        <v>0.40399999999999997</v>
      </c>
      <c r="G81" s="20">
        <f>IF(G$79=TRUE,22.9%,40.8%)</f>
        <v>0.40799999999999997</v>
      </c>
      <c r="H81" s="20">
        <f>IF(H$79=TRUE,22.95%,40.85%)</f>
        <v>0.40850000000000003</v>
      </c>
      <c r="I81" s="20">
        <f>IF(I79=TRUE,20.2%,38.1%)</f>
        <v>0.38100000000000001</v>
      </c>
      <c r="J81" s="20">
        <f>IF(J79=TRUE,19.45%,37.35%)</f>
        <v>0.3735</v>
      </c>
      <c r="K81" s="20">
        <f>IF(K79=TRUE,19.2%,37.1%)</f>
        <v>0.371</v>
      </c>
      <c r="L81" s="20">
        <f>IF(L79=TRUE,19.17%,37.07%)</f>
        <v>0.37070000000000003</v>
      </c>
      <c r="M81" s="173">
        <f>IF(M80=TRUE,19.03%,36.93%)</f>
        <v>0.36930000000000002</v>
      </c>
      <c r="N81" s="20">
        <v>0.36969999999999997</v>
      </c>
      <c r="O81" s="20">
        <v>0.35820000000000002</v>
      </c>
    </row>
    <row r="82" spans="1:15" x14ac:dyDescent="0.15">
      <c r="A82" s="8" t="s">
        <v>83</v>
      </c>
      <c r="B82" s="20">
        <v>0.42</v>
      </c>
      <c r="C82" s="20">
        <v>0.42</v>
      </c>
      <c r="D82" s="20">
        <v>0.42</v>
      </c>
      <c r="E82" s="20">
        <v>0.42</v>
      </c>
      <c r="F82" s="20">
        <v>0.40400000000000003</v>
      </c>
      <c r="G82" s="20">
        <v>0.40799999999999997</v>
      </c>
      <c r="H82" s="20">
        <v>0.40849999999999997</v>
      </c>
      <c r="I82" s="20">
        <v>0.38100000000000001</v>
      </c>
      <c r="J82" s="20">
        <v>0.3735</v>
      </c>
      <c r="K82" s="20">
        <v>0.371</v>
      </c>
      <c r="L82" s="20">
        <v>0.37069999999999997</v>
      </c>
      <c r="M82" s="173">
        <v>0.36930000000000002</v>
      </c>
      <c r="N82" s="20">
        <v>0.36969999999999997</v>
      </c>
      <c r="O82" s="20">
        <v>0.37480000000000002</v>
      </c>
    </row>
    <row r="83" spans="1:15" x14ac:dyDescent="0.15">
      <c r="A83" s="8" t="s">
        <v>84</v>
      </c>
      <c r="B83" s="20">
        <v>0.52</v>
      </c>
      <c r="C83" s="20">
        <v>0.52</v>
      </c>
      <c r="D83" s="20">
        <v>0.52</v>
      </c>
      <c r="E83" s="20">
        <v>0.52</v>
      </c>
      <c r="F83" s="20">
        <v>0.52</v>
      </c>
      <c r="G83" s="20">
        <v>0.52</v>
      </c>
      <c r="H83" s="20">
        <v>0.51949999999999996</v>
      </c>
      <c r="I83" s="20">
        <v>0.51749999999999996</v>
      </c>
      <c r="J83" s="20">
        <v>0.495</v>
      </c>
      <c r="K83" s="20">
        <v>0.495</v>
      </c>
      <c r="L83" s="20">
        <v>0.495</v>
      </c>
      <c r="M83" s="173">
        <v>0.495</v>
      </c>
      <c r="N83" s="20">
        <v>0.495</v>
      </c>
      <c r="O83" s="20">
        <v>0.495</v>
      </c>
    </row>
    <row r="84" spans="1:15" x14ac:dyDescent="0.15">
      <c r="A84" s="8"/>
      <c r="B84" s="2"/>
      <c r="C84" s="2"/>
      <c r="D84" s="2"/>
      <c r="E84" s="2"/>
      <c r="F84" s="2"/>
      <c r="G84" s="2"/>
      <c r="H84" s="2"/>
      <c r="I84" s="2"/>
      <c r="J84" s="2"/>
      <c r="K84" s="2"/>
      <c r="L84" s="2"/>
      <c r="M84" s="26"/>
      <c r="N84" s="2"/>
      <c r="O84" s="2"/>
    </row>
    <row r="85" spans="1:15" x14ac:dyDescent="0.15">
      <c r="A85" s="8" t="s">
        <v>55</v>
      </c>
      <c r="B85" s="19">
        <v>0.25</v>
      </c>
      <c r="C85" s="19">
        <v>0.25</v>
      </c>
      <c r="D85" s="19">
        <v>0.22</v>
      </c>
      <c r="E85" s="19">
        <v>0.25</v>
      </c>
      <c r="F85" s="19">
        <v>0.25</v>
      </c>
      <c r="G85" s="19">
        <v>0.25</v>
      </c>
      <c r="H85" s="19">
        <v>0.25</v>
      </c>
      <c r="I85" s="19">
        <v>0.25</v>
      </c>
      <c r="J85" s="20">
        <v>0.26250000000000001</v>
      </c>
      <c r="K85" s="20">
        <v>0.26900000000000002</v>
      </c>
      <c r="L85" s="20">
        <v>0.26900000000000002</v>
      </c>
      <c r="M85" s="173">
        <v>0.26900000000000002</v>
      </c>
      <c r="N85" s="19">
        <v>0.33</v>
      </c>
      <c r="O85" s="19">
        <v>0.31</v>
      </c>
    </row>
    <row r="86" spans="1:15" x14ac:dyDescent="0.15">
      <c r="A86" s="8"/>
      <c r="B86" s="2"/>
      <c r="C86" s="2"/>
      <c r="D86" s="2"/>
      <c r="E86" s="2"/>
      <c r="F86" s="2"/>
      <c r="G86" s="2"/>
      <c r="H86" s="2"/>
      <c r="I86" s="2"/>
      <c r="J86" s="2"/>
      <c r="K86" s="2"/>
      <c r="L86" s="2"/>
      <c r="M86" s="26"/>
      <c r="N86" s="2"/>
      <c r="O86" s="2"/>
    </row>
    <row r="87" spans="1:15" x14ac:dyDescent="0.15">
      <c r="A87" s="9" t="s">
        <v>8</v>
      </c>
      <c r="B87" s="33">
        <v>2012</v>
      </c>
      <c r="C87" s="33">
        <v>2013</v>
      </c>
      <c r="D87" s="33">
        <v>2014</v>
      </c>
      <c r="E87" s="33">
        <v>2015</v>
      </c>
      <c r="F87" s="33">
        <v>2016</v>
      </c>
      <c r="G87" s="33">
        <v>2017</v>
      </c>
      <c r="H87" s="33">
        <v>2018</v>
      </c>
      <c r="I87" s="33">
        <v>2019</v>
      </c>
      <c r="J87" s="33">
        <v>2020</v>
      </c>
      <c r="K87" s="33">
        <v>2021</v>
      </c>
      <c r="L87" s="33">
        <v>2022</v>
      </c>
      <c r="M87" s="171">
        <v>2023</v>
      </c>
      <c r="N87" s="33">
        <v>2024</v>
      </c>
      <c r="O87" s="33">
        <v>2025</v>
      </c>
    </row>
    <row r="88" spans="1:15" x14ac:dyDescent="0.15">
      <c r="A88" s="8" t="s">
        <v>85</v>
      </c>
      <c r="B88" s="2">
        <v>200000</v>
      </c>
      <c r="C88" s="2">
        <v>200000</v>
      </c>
      <c r="D88" s="2">
        <v>200000</v>
      </c>
      <c r="E88" s="2">
        <v>200000</v>
      </c>
      <c r="F88" s="2">
        <v>200000</v>
      </c>
      <c r="G88" s="2">
        <v>200000</v>
      </c>
      <c r="H88" s="2">
        <v>200000</v>
      </c>
      <c r="I88" s="2">
        <v>200000</v>
      </c>
      <c r="J88" s="2">
        <v>200000</v>
      </c>
      <c r="K88" s="2">
        <v>245000</v>
      </c>
      <c r="L88" s="2">
        <v>395000</v>
      </c>
      <c r="M88" s="26">
        <v>200000</v>
      </c>
      <c r="N88" s="2">
        <v>200000</v>
      </c>
      <c r="O88" s="2">
        <v>200000</v>
      </c>
    </row>
    <row r="89" spans="1:15" x14ac:dyDescent="0.15">
      <c r="A89" s="8" t="s">
        <v>86</v>
      </c>
      <c r="B89" s="19">
        <v>0.2</v>
      </c>
      <c r="C89" s="19">
        <v>0.2</v>
      </c>
      <c r="D89" s="19">
        <v>0.2</v>
      </c>
      <c r="E89" s="19">
        <v>0.2</v>
      </c>
      <c r="F89" s="19">
        <v>0.2</v>
      </c>
      <c r="G89" s="19">
        <v>0.2</v>
      </c>
      <c r="H89" s="19">
        <v>0.2</v>
      </c>
      <c r="I89" s="53">
        <v>0.19</v>
      </c>
      <c r="J89" s="53">
        <v>0.16500000000000001</v>
      </c>
      <c r="K89" s="53">
        <v>0.15</v>
      </c>
      <c r="L89" s="19">
        <v>0.15</v>
      </c>
      <c r="M89" s="174">
        <v>0.19</v>
      </c>
      <c r="N89" s="19">
        <v>0.19</v>
      </c>
      <c r="O89" s="19">
        <v>0.19</v>
      </c>
    </row>
    <row r="90" spans="1:15" x14ac:dyDescent="0.15">
      <c r="A90" s="8" t="s">
        <v>87</v>
      </c>
      <c r="B90" s="19">
        <v>0.25</v>
      </c>
      <c r="C90" s="19">
        <v>0.25</v>
      </c>
      <c r="D90" s="19">
        <v>0.25</v>
      </c>
      <c r="E90" s="19">
        <v>0.25</v>
      </c>
      <c r="F90" s="19">
        <v>0.25</v>
      </c>
      <c r="G90" s="19">
        <v>0.25</v>
      </c>
      <c r="H90" s="19">
        <v>0.25</v>
      </c>
      <c r="I90" s="53">
        <v>0.25</v>
      </c>
      <c r="J90" s="53">
        <v>0.25</v>
      </c>
      <c r="K90" s="53">
        <v>0.25</v>
      </c>
      <c r="L90" s="53">
        <v>0.25800000000000001</v>
      </c>
      <c r="M90" s="175">
        <v>0.25800000000000001</v>
      </c>
      <c r="N90" s="53">
        <v>0.25800000000000001</v>
      </c>
      <c r="O90" s="20">
        <v>0.25800000000000001</v>
      </c>
    </row>
    <row r="91" spans="1:15" x14ac:dyDescent="0.15">
      <c r="A91" s="8"/>
      <c r="B91" s="2"/>
      <c r="C91" s="2"/>
      <c r="D91" s="2"/>
      <c r="E91" s="2"/>
      <c r="F91" s="2"/>
      <c r="G91" s="2"/>
      <c r="H91" s="2"/>
      <c r="I91" s="2"/>
      <c r="J91" s="2"/>
      <c r="K91" s="2"/>
      <c r="L91" s="2"/>
      <c r="M91" s="26"/>
      <c r="N91" s="2"/>
      <c r="O91" s="2"/>
    </row>
    <row r="92" spans="1:15" x14ac:dyDescent="0.15">
      <c r="A92" s="9" t="s">
        <v>88</v>
      </c>
      <c r="B92" s="54">
        <f>IF(B$79=TRUE,934,2001)</f>
        <v>2001</v>
      </c>
      <c r="C92" s="54">
        <f>IF(C$79=TRUE,1034,2033)</f>
        <v>2033</v>
      </c>
      <c r="D92" s="54">
        <f>IF(D$79=TRUE,1065,2103)</f>
        <v>2103</v>
      </c>
      <c r="E92" s="54">
        <f>IF(E$79=TRUE,1123,2203)</f>
        <v>2203</v>
      </c>
      <c r="F92" s="54">
        <f>IF(F$79=TRUE,1145,2242)</f>
        <v>2242</v>
      </c>
      <c r="G92" s="54">
        <f>IF(G$79=TRUE,1151,2254)</f>
        <v>2254</v>
      </c>
      <c r="H92" s="54">
        <f>IF(H$79=TRUE,1157,2265)</f>
        <v>2265</v>
      </c>
      <c r="I92" s="54">
        <f>IF(I79=TRUE,1268,2477)</f>
        <v>2477</v>
      </c>
      <c r="J92" s="54">
        <f>IF(J79=TRUE,1413,2711)</f>
        <v>2711</v>
      </c>
      <c r="K92" s="54">
        <f>IF(K79=TRUE,1453,2837)</f>
        <v>2837</v>
      </c>
      <c r="L92" s="54">
        <f>IF(L79=TRUE,1494,2888)</f>
        <v>2888</v>
      </c>
      <c r="M92" s="176">
        <f>IF(M79=TRUE,1588,3070)</f>
        <v>3070</v>
      </c>
      <c r="N92" s="55">
        <f>IF(N79=TRUE,1735,3362)</f>
        <v>3362</v>
      </c>
      <c r="O92" s="55">
        <v>3068</v>
      </c>
    </row>
    <row r="93" spans="1:15" x14ac:dyDescent="0.15">
      <c r="A93" s="8" t="s">
        <v>89</v>
      </c>
      <c r="B93" s="56">
        <v>0</v>
      </c>
      <c r="C93" s="56">
        <v>0</v>
      </c>
      <c r="D93" s="57">
        <f>IF(D$79=TRUE,2%,2%)</f>
        <v>0.02</v>
      </c>
      <c r="E93" s="57">
        <f>IF(E$79=TRUE,1.183%,2.32%)</f>
        <v>2.3199999999999998E-2</v>
      </c>
      <c r="F93" s="57">
        <f>IF(F$79=TRUE,2.46%,4.822%)</f>
        <v>4.8219999999999999E-2</v>
      </c>
      <c r="G93" s="57">
        <f>IF(G$79=TRUE,2.443%,4.787%)</f>
        <v>4.7869999999999996E-2</v>
      </c>
      <c r="H93" s="57">
        <f>IF(H$79=TRUE,2.389%,4.683%)</f>
        <v>4.6829999999999997E-2</v>
      </c>
      <c r="I93" s="57">
        <f>IF(I79=TRUE,2.633%,5.147%)</f>
        <v>5.1470000000000002E-2</v>
      </c>
      <c r="J93" s="57">
        <f>IF(J79=TRUE,2.954%,5.672%)</f>
        <v>5.672E-2</v>
      </c>
      <c r="K93" s="57">
        <f>IF(K79=TRUE,3.093%,5.977%)</f>
        <v>5.9770000000000004E-2</v>
      </c>
      <c r="L93" s="57">
        <f>IF(L79=TRUE,3.106%,6.007%)</f>
        <v>6.0069999999999998E-2</v>
      </c>
      <c r="M93" s="177">
        <f>IF(M79=TRUE,3.141%,6.095%)</f>
        <v>6.0949999999999997E-2</v>
      </c>
      <c r="N93" s="56">
        <v>6.6299999999999998E-2</v>
      </c>
      <c r="O93" s="20">
        <v>6.3369999999999996E-2</v>
      </c>
    </row>
    <row r="94" spans="1:15" x14ac:dyDescent="0.15">
      <c r="A94" s="8" t="s">
        <v>90</v>
      </c>
      <c r="B94" s="58">
        <f>B92</f>
        <v>2001</v>
      </c>
      <c r="C94" s="58">
        <f>C92</f>
        <v>2033</v>
      </c>
      <c r="D94" s="59">
        <f>IF(D$79=TRUE,693,1366)</f>
        <v>1366</v>
      </c>
      <c r="E94" s="59">
        <f>IF(E$79=TRUE,685,1342)</f>
        <v>1342</v>
      </c>
      <c r="F94" s="59">
        <v>0</v>
      </c>
      <c r="G94" s="59">
        <v>0</v>
      </c>
      <c r="H94" s="59">
        <v>0</v>
      </c>
      <c r="I94" s="59">
        <v>0</v>
      </c>
      <c r="J94" s="59">
        <v>0</v>
      </c>
      <c r="K94" s="59">
        <v>0</v>
      </c>
      <c r="L94" s="58">
        <v>0</v>
      </c>
      <c r="M94" s="178">
        <v>0</v>
      </c>
      <c r="N94" s="58">
        <v>0</v>
      </c>
      <c r="O94" s="58">
        <v>0</v>
      </c>
    </row>
    <row r="95" spans="1:15" x14ac:dyDescent="0.15">
      <c r="A95" s="8"/>
      <c r="B95" s="20"/>
      <c r="C95" s="2"/>
      <c r="D95" s="22"/>
      <c r="E95" s="14"/>
      <c r="F95" s="14"/>
      <c r="G95" s="2"/>
      <c r="H95" s="2"/>
      <c r="I95" s="2"/>
      <c r="J95" s="2"/>
      <c r="K95" s="20"/>
      <c r="L95" s="2"/>
      <c r="M95" s="179"/>
      <c r="N95" s="14"/>
      <c r="O95" s="14"/>
    </row>
    <row r="96" spans="1:15" x14ac:dyDescent="0.15">
      <c r="A96" s="9" t="s">
        <v>41</v>
      </c>
      <c r="B96" s="33">
        <v>2012</v>
      </c>
      <c r="C96" s="33">
        <v>2013</v>
      </c>
      <c r="D96" s="33">
        <v>2014</v>
      </c>
      <c r="E96" s="33">
        <v>2015</v>
      </c>
      <c r="F96" s="33">
        <v>2016</v>
      </c>
      <c r="G96" s="33">
        <v>2017</v>
      </c>
      <c r="H96" s="33">
        <v>2018</v>
      </c>
      <c r="I96" s="33">
        <v>2019</v>
      </c>
      <c r="J96" s="33">
        <v>2020</v>
      </c>
      <c r="K96" s="33">
        <v>2021</v>
      </c>
      <c r="L96" s="33">
        <v>2022</v>
      </c>
      <c r="M96" s="171">
        <v>2023</v>
      </c>
      <c r="N96" s="33">
        <v>2024</v>
      </c>
      <c r="O96" s="33">
        <v>2025</v>
      </c>
    </row>
    <row r="97" spans="1:15" x14ac:dyDescent="0.15">
      <c r="A97" s="8" t="s">
        <v>51</v>
      </c>
      <c r="B97" s="58">
        <v>9295</v>
      </c>
      <c r="C97" s="58">
        <v>8816</v>
      </c>
      <c r="D97" s="58">
        <v>8913</v>
      </c>
      <c r="E97" s="60">
        <v>9010</v>
      </c>
      <c r="F97" s="60">
        <v>9147</v>
      </c>
      <c r="G97" s="58">
        <v>9309</v>
      </c>
      <c r="H97" s="58">
        <v>9468</v>
      </c>
      <c r="I97" s="58">
        <v>9694</v>
      </c>
      <c r="J97" s="58">
        <v>9921</v>
      </c>
      <c r="K97" s="58">
        <v>10108</v>
      </c>
      <c r="L97" s="58">
        <v>10350</v>
      </c>
      <c r="M97" s="178">
        <v>10740</v>
      </c>
      <c r="N97" s="60">
        <v>11491</v>
      </c>
      <c r="O97" s="60">
        <v>12169</v>
      </c>
    </row>
    <row r="98" spans="1:15" x14ac:dyDescent="0.15">
      <c r="A98" s="8" t="s">
        <v>52</v>
      </c>
      <c r="B98" s="58">
        <v>21059</v>
      </c>
      <c r="C98" s="58">
        <v>18502</v>
      </c>
      <c r="D98" s="58">
        <v>19248</v>
      </c>
      <c r="E98" s="58">
        <v>19463</v>
      </c>
      <c r="F98" s="58">
        <v>19758</v>
      </c>
      <c r="G98" s="58">
        <v>20108</v>
      </c>
      <c r="H98" s="58">
        <v>20450</v>
      </c>
      <c r="I98" s="58">
        <v>20940</v>
      </c>
      <c r="J98" s="58">
        <v>21430</v>
      </c>
      <c r="K98" s="58">
        <v>21835</v>
      </c>
      <c r="L98" s="58">
        <v>22356</v>
      </c>
      <c r="M98" s="178">
        <v>23201</v>
      </c>
      <c r="N98" s="58">
        <f>N74</f>
        <v>24821</v>
      </c>
      <c r="O98" s="58">
        <f t="shared" ref="O98" si="3">O74</f>
        <v>26288</v>
      </c>
    </row>
    <row r="99" spans="1:15" x14ac:dyDescent="0.15">
      <c r="A99" s="8" t="s">
        <v>53</v>
      </c>
      <c r="B99" s="54">
        <v>45181</v>
      </c>
      <c r="C99" s="54">
        <v>40248</v>
      </c>
      <c r="D99" s="54">
        <v>40721</v>
      </c>
      <c r="E99" s="55">
        <v>49770</v>
      </c>
      <c r="F99" s="55">
        <v>34015</v>
      </c>
      <c r="G99" s="58">
        <v>32444</v>
      </c>
      <c r="H99" s="54">
        <v>33112</v>
      </c>
      <c r="I99" s="54">
        <v>34060</v>
      </c>
      <c r="J99" s="54">
        <v>34954</v>
      </c>
      <c r="K99" s="54">
        <v>35652</v>
      </c>
      <c r="L99" s="54">
        <v>36649</v>
      </c>
      <c r="M99" s="176">
        <v>37691</v>
      </c>
      <c r="N99" s="60">
        <v>39958</v>
      </c>
      <c r="O99" s="60">
        <v>43071</v>
      </c>
    </row>
    <row r="100" spans="1:15" x14ac:dyDescent="0.15">
      <c r="A100" s="8" t="s">
        <v>54</v>
      </c>
      <c r="B100" s="58">
        <v>514.17999999999995</v>
      </c>
      <c r="C100" s="58">
        <v>69573</v>
      </c>
      <c r="D100" s="58">
        <v>83971</v>
      </c>
      <c r="E100" s="58">
        <v>100670</v>
      </c>
      <c r="F100" s="58">
        <v>111590</v>
      </c>
      <c r="G100" s="58">
        <v>121972</v>
      </c>
      <c r="H100" s="58">
        <v>123362</v>
      </c>
      <c r="I100" s="58">
        <v>90710</v>
      </c>
      <c r="J100" s="58">
        <f>(J107/J105)+J99</f>
        <v>98604</v>
      </c>
      <c r="K100" s="58">
        <f>(K107/K105)+K99</f>
        <v>105735.33333333334</v>
      </c>
      <c r="L100" s="58">
        <f>(L107/L105)+L99</f>
        <v>109345.24573378838</v>
      </c>
      <c r="M100" s="178">
        <f>(M107/M105)+M99</f>
        <v>115294.68663594472</v>
      </c>
      <c r="N100" s="58">
        <v>124935</v>
      </c>
      <c r="O100" s="58">
        <v>129078</v>
      </c>
    </row>
    <row r="101" spans="1:15" x14ac:dyDescent="0.15">
      <c r="A101" s="8"/>
      <c r="B101" s="2"/>
      <c r="C101" s="2"/>
      <c r="D101" s="20"/>
      <c r="E101" s="2"/>
      <c r="F101" s="22"/>
      <c r="G101" s="14"/>
      <c r="H101" s="14"/>
      <c r="I101" s="2"/>
      <c r="J101" s="2"/>
      <c r="K101" s="2"/>
      <c r="L101" s="2"/>
      <c r="M101" s="26"/>
      <c r="N101" s="2"/>
      <c r="O101" s="22"/>
    </row>
    <row r="102" spans="1:15" x14ac:dyDescent="0.15">
      <c r="A102" s="8" t="s">
        <v>81</v>
      </c>
      <c r="B102" s="2">
        <f>IF(B$79=TRUE,0.796%,1.733%)</f>
        <v>1.7330000000000002E-2</v>
      </c>
      <c r="C102" s="2">
        <f>IF(C$79=TRUE,0.943%,1.827%)</f>
        <v>1.8269999999999998E-2</v>
      </c>
      <c r="D102" s="2">
        <f>IF(D$79=TRUE,0.915%,1.807%)</f>
        <v>1.8069999999999999E-2</v>
      </c>
      <c r="E102" s="2">
        <f>IF(E$79=TRUE,0.922%,1.81%)</f>
        <v>1.8100000000000002E-2</v>
      </c>
      <c r="F102" s="2">
        <f>IF(F$79=TRUE,0.915%,1.793%)</f>
        <v>1.7929999999999998E-2</v>
      </c>
      <c r="G102" s="2">
        <f>IF(G$79=TRUE,0.904%,1.772%)</f>
        <v>1.772E-2</v>
      </c>
      <c r="H102" s="2">
        <f>IF(H$79=TRUE,0.901%,1.764%)</f>
        <v>1.7639999999999999E-2</v>
      </c>
      <c r="I102" s="2">
        <f>IF(I79=TRUE,0.898%,1.754%)</f>
        <v>1.754E-2</v>
      </c>
      <c r="J102" s="2">
        <f>IF(J79=TRUE,1.464%,2.812%)</f>
        <v>2.8119999999999999E-2</v>
      </c>
      <c r="K102" s="2">
        <f>IF(K79=TRUE,2.371%,4.581%)</f>
        <v>4.5810000000000003E-2</v>
      </c>
      <c r="L102" s="2">
        <f>IF(L79=TRUE,2.348%,4.541%)</f>
        <v>4.5410000000000006E-2</v>
      </c>
      <c r="M102" s="26">
        <f>IF(M79=TRUE,4.241%,8.231%)</f>
        <v>8.2309999999999994E-2</v>
      </c>
      <c r="N102" s="2">
        <f>IF(N79=TRUE,4.346%,8.425%)</f>
        <v>8.4250000000000005E-2</v>
      </c>
      <c r="O102" s="211">
        <v>8.0530000000000004E-2</v>
      </c>
    </row>
    <row r="103" spans="1:15" x14ac:dyDescent="0.15">
      <c r="A103" s="8" t="s">
        <v>82</v>
      </c>
      <c r="B103" s="2">
        <f>IF(B$79=TRUE,5.657%,12.32%)</f>
        <v>0.1232</v>
      </c>
      <c r="C103" s="2">
        <f>IF(C$79=TRUE,8.319%,16.115%)</f>
        <v>0.16114999999999999</v>
      </c>
      <c r="D103" s="2">
        <f>IF(D$79=TRUE,9.479%,18.724%)</f>
        <v>0.18723999999999999</v>
      </c>
      <c r="E103" s="2">
        <f>IF(E$79=TRUE,10.028%,19.679%)</f>
        <v>0.19678999999999999</v>
      </c>
      <c r="F103" s="2">
        <f>IF(F$79=TRUE,14.133%,27.698%)</f>
        <v>0.27698</v>
      </c>
      <c r="G103" s="2">
        <f>IF(G$79=TRUE,14.449%,28.317%)</f>
        <v>0.28316999999999998</v>
      </c>
      <c r="H103" s="2">
        <f>IF(H$79=TRUE,14.32%,28.064%)</f>
        <v>0.28064</v>
      </c>
      <c r="I103" s="2">
        <f>IF(I79=TRUE,14.689%,28.712%)</f>
        <v>0.28711999999999999</v>
      </c>
      <c r="J103" s="2">
        <f>IF(J79=TRUE,15.004%,28.812%)</f>
        <v>0.28811999999999999</v>
      </c>
      <c r="K103" s="2">
        <f>IF(K79=TRUE,14.89%,28.771%)</f>
        <v>0.28771000000000002</v>
      </c>
      <c r="L103" s="2">
        <f>IF(L79=TRUE,14.718%,28.461%)</f>
        <v>0.28460999999999997</v>
      </c>
      <c r="M103" s="26">
        <f>IF(M79=TRUE,15.388%,29.861%)</f>
        <v>0.29860999999999999</v>
      </c>
      <c r="N103" s="2">
        <f>IF(N79=TRUE,16.214%,31.433%)</f>
        <v>0.31433</v>
      </c>
      <c r="O103" s="211">
        <v>0.30030000000000001</v>
      </c>
    </row>
    <row r="104" spans="1:15" x14ac:dyDescent="0.15">
      <c r="A104" s="8" t="s">
        <v>83</v>
      </c>
      <c r="B104" s="2">
        <v>0</v>
      </c>
      <c r="C104" s="2">
        <v>0</v>
      </c>
      <c r="D104" s="2">
        <v>0</v>
      </c>
      <c r="E104" s="2">
        <v>0</v>
      </c>
      <c r="F104" s="2">
        <v>0</v>
      </c>
      <c r="G104" s="2">
        <v>0</v>
      </c>
      <c r="H104" s="2">
        <v>0</v>
      </c>
      <c r="I104" s="2">
        <v>0</v>
      </c>
      <c r="J104" s="2">
        <f>IF(J79=TRUE,0.862%,1.656%)</f>
        <v>1.6559999999999998E-2</v>
      </c>
      <c r="K104" s="2">
        <f>IF(K79=TRUE,1.378%,2.663%)</f>
        <v>2.6629999999999997E-2</v>
      </c>
      <c r="L104" s="2">
        <f>IF(L79=TRUE,1.349%,2.61%)</f>
        <v>2.6099999999999998E-2</v>
      </c>
      <c r="M104" s="26">
        <f>IF(M79=TRUE,1.589%,3.085%)</f>
        <v>3.0849999999999999E-2</v>
      </c>
      <c r="N104" s="2">
        <f>IF(N79=TRUE,1.275%,2.471%)</f>
        <v>2.4709999999999999E-2</v>
      </c>
      <c r="O104" s="2">
        <v>2.2579999999999999E-2</v>
      </c>
    </row>
    <row r="105" spans="1:15" x14ac:dyDescent="0.15">
      <c r="A105" s="8" t="s">
        <v>84</v>
      </c>
      <c r="B105" s="2">
        <f>IF(B$79=TRUE,0.574%,1.25%)</f>
        <v>1.2500000000000001E-2</v>
      </c>
      <c r="C105" s="2">
        <f>IF(C$79=TRUE,2.064%,4%)</f>
        <v>0.04</v>
      </c>
      <c r="D105" s="2">
        <f>IF(D$79=TRUE,2.025%,4%)</f>
        <v>0.04</v>
      </c>
      <c r="E105" s="2">
        <f>IF(E$79=TRUE,2.038%,4%)</f>
        <v>0.04</v>
      </c>
      <c r="F105" s="2">
        <f>IF(F$79=TRUE,2.041%,4%)</f>
        <v>0.04</v>
      </c>
      <c r="G105" s="2">
        <f>IF(G$79=TRUE,1.837%,3.6%)</f>
        <v>3.6000000000000004E-2</v>
      </c>
      <c r="H105" s="2">
        <f>IF(H$79=TRUE,1.837%,3.6%)</f>
        <v>3.6000000000000004E-2</v>
      </c>
      <c r="I105" s="2">
        <f>IF(I79=TRUE,3.069%,6%)</f>
        <v>0.06</v>
      </c>
      <c r="J105" s="2">
        <f>IF(J79=TRUE,3.124%,6%)</f>
        <v>0.06</v>
      </c>
      <c r="K105" s="2">
        <f>IF(K79=TRUE,3.105%,6%)</f>
        <v>0.06</v>
      </c>
      <c r="L105" s="2">
        <f>IF(L79=TRUE,3.03%,5.86%)</f>
        <v>5.8600000000000006E-2</v>
      </c>
      <c r="M105" s="26">
        <f>IF(M79=TRUE,3.355%,6.51%)</f>
        <v>6.5099999999999991E-2</v>
      </c>
      <c r="N105" s="2">
        <f>IF(N79=TRUE,3.358%,6.51%)</f>
        <v>6.5099999999999991E-2</v>
      </c>
      <c r="O105" s="2">
        <v>6.5100000000000005E-2</v>
      </c>
    </row>
    <row r="106" spans="1:15" x14ac:dyDescent="0.15">
      <c r="A106" s="9"/>
      <c r="B106" s="10"/>
      <c r="C106" s="10"/>
      <c r="D106" s="10"/>
      <c r="E106" s="10"/>
      <c r="F106" s="10"/>
      <c r="G106" s="11"/>
      <c r="H106" s="11"/>
      <c r="I106" s="2"/>
      <c r="J106" s="10"/>
      <c r="K106" s="10"/>
      <c r="L106" s="10"/>
      <c r="M106" s="180"/>
      <c r="N106" s="10"/>
      <c r="O106" s="10"/>
    </row>
    <row r="107" spans="1:15" x14ac:dyDescent="0.15">
      <c r="A107" s="8" t="s">
        <v>91</v>
      </c>
      <c r="B107" s="2">
        <f>IF(B$79=TRUE,740,1611)</f>
        <v>1611</v>
      </c>
      <c r="C107" s="2">
        <f>IF(C$79=TRUE,890,1723)</f>
        <v>1723</v>
      </c>
      <c r="D107" s="2">
        <f>IF(D$79=TRUE,1062,2097)</f>
        <v>2097</v>
      </c>
      <c r="E107" s="2">
        <f>IF(E$79=TRUE,1132,2220)</f>
        <v>2220</v>
      </c>
      <c r="F107" s="2">
        <f>IF(F$79=TRUE,1585,3103)</f>
        <v>3103</v>
      </c>
      <c r="G107" s="2">
        <f>IF(G$79=TRUE,1645,3223)</f>
        <v>3223</v>
      </c>
      <c r="H107" s="2">
        <f>IF(H$79=TRUE,1659,3249)</f>
        <v>3249</v>
      </c>
      <c r="I107" s="2">
        <f>IF(I79=TRUE,1745,3399)</f>
        <v>3399</v>
      </c>
      <c r="J107" s="2">
        <f>IF(J79=TRUE,1989,3819)</f>
        <v>3819</v>
      </c>
      <c r="K107" s="2">
        <f>IF(K79=TRUE,2178,4205)</f>
        <v>4205</v>
      </c>
      <c r="L107" s="2">
        <f>IF(L79=TRUE,2204,4260)</f>
        <v>4260</v>
      </c>
      <c r="M107" s="26">
        <f>IF(M79=TRUE,2604,5052)</f>
        <v>5052</v>
      </c>
      <c r="N107" s="2">
        <f>IF(N79=TRUE,2854,5532)</f>
        <v>5532</v>
      </c>
      <c r="O107" s="22">
        <v>5599</v>
      </c>
    </row>
    <row r="108" spans="1:15" x14ac:dyDescent="0.15">
      <c r="A108" s="8" t="s">
        <v>92</v>
      </c>
      <c r="B108" s="2">
        <f>IF(B$79=TRUE,704,740)</f>
        <v>740</v>
      </c>
      <c r="C108" s="2">
        <f>IF(C$79=TRUE,284,550)</f>
        <v>550</v>
      </c>
      <c r="D108" s="2">
        <f>IF(D$79=TRUE,186,367)</f>
        <v>367</v>
      </c>
      <c r="E108" s="2">
        <f>IF(E$79=TRUE,94,184)</f>
        <v>184</v>
      </c>
      <c r="F108" s="2">
        <v>0</v>
      </c>
      <c r="G108" s="2">
        <v>0</v>
      </c>
      <c r="H108" s="2">
        <v>0</v>
      </c>
      <c r="I108" s="2">
        <v>0</v>
      </c>
      <c r="J108" s="2">
        <v>0</v>
      </c>
      <c r="K108" s="2">
        <v>0</v>
      </c>
      <c r="L108" s="2">
        <v>0</v>
      </c>
      <c r="M108" s="26">
        <v>0</v>
      </c>
      <c r="N108" s="2">
        <v>0</v>
      </c>
      <c r="O108" s="22">
        <v>0</v>
      </c>
    </row>
    <row r="109" spans="1:15" x14ac:dyDescent="0.15">
      <c r="A109" s="8"/>
      <c r="B109" s="2"/>
      <c r="C109" s="2"/>
      <c r="D109" s="20"/>
      <c r="E109" s="2"/>
      <c r="F109" s="22"/>
      <c r="G109" s="14"/>
      <c r="H109" s="14"/>
      <c r="I109" s="2"/>
      <c r="J109" s="2"/>
      <c r="K109" s="2"/>
      <c r="L109" s="2"/>
      <c r="M109" s="173"/>
      <c r="N109" s="2"/>
      <c r="O109" s="22"/>
    </row>
    <row r="110" spans="1:15" x14ac:dyDescent="0.15">
      <c r="A110" s="9" t="s">
        <v>62</v>
      </c>
      <c r="B110" s="34">
        <v>0</v>
      </c>
      <c r="C110" s="34">
        <v>0</v>
      </c>
      <c r="D110" s="34">
        <v>5.0000000000000001E-3</v>
      </c>
      <c r="E110" s="34">
        <v>0.01</v>
      </c>
      <c r="F110" s="34">
        <v>1.4999999999999999E-2</v>
      </c>
      <c r="G110" s="34">
        <v>0.02</v>
      </c>
      <c r="H110" s="13">
        <v>2.4500000000000001E-2</v>
      </c>
      <c r="I110" s="13">
        <v>2.75E-2</v>
      </c>
      <c r="J110" s="13">
        <v>3.5000000000000003E-2</v>
      </c>
      <c r="K110" s="13">
        <v>6.5000000000000002E-2</v>
      </c>
      <c r="L110" s="153">
        <v>9.5000000000000001E-2</v>
      </c>
      <c r="M110" s="181">
        <f>M83-M82</f>
        <v>0.12569999999999998</v>
      </c>
      <c r="N110" s="34">
        <f>N83-N82</f>
        <v>0.12530000000000002</v>
      </c>
      <c r="O110" s="13">
        <v>0.1202</v>
      </c>
    </row>
    <row r="111" spans="1:15" x14ac:dyDescent="0.15">
      <c r="A111" s="9"/>
      <c r="B111" s="34"/>
      <c r="C111" s="34"/>
      <c r="D111" s="34"/>
      <c r="E111" s="34"/>
      <c r="F111" s="34"/>
      <c r="G111" s="34"/>
      <c r="H111" s="13"/>
      <c r="I111" s="34">
        <v>0</v>
      </c>
      <c r="J111" s="13">
        <v>3.5000000000000003E-2</v>
      </c>
      <c r="K111" s="13">
        <v>6.5000000000000002E-2</v>
      </c>
      <c r="L111" s="153">
        <v>9.5000000000000001E-2</v>
      </c>
      <c r="M111" s="181">
        <f>M110</f>
        <v>0.12569999999999998</v>
      </c>
      <c r="N111" s="34">
        <f>N110</f>
        <v>0.12530000000000002</v>
      </c>
      <c r="O111" s="13">
        <v>0.1202</v>
      </c>
    </row>
    <row r="112" spans="1:15" x14ac:dyDescent="0.15">
      <c r="A112" s="8"/>
      <c r="B112" s="2"/>
      <c r="C112" s="2"/>
      <c r="D112" s="2"/>
      <c r="E112" s="2"/>
      <c r="F112" s="2"/>
      <c r="G112" s="32"/>
      <c r="H112" s="32"/>
      <c r="I112" s="2"/>
      <c r="J112" s="13"/>
      <c r="K112" s="13"/>
      <c r="L112" s="153"/>
      <c r="M112" s="26"/>
      <c r="N112" s="2"/>
      <c r="O112" s="2"/>
    </row>
    <row r="113" spans="1:15" x14ac:dyDescent="0.15">
      <c r="A113" s="9" t="s">
        <v>66</v>
      </c>
      <c r="B113" s="33">
        <v>2012</v>
      </c>
      <c r="C113" s="33">
        <v>2013</v>
      </c>
      <c r="D113" s="33">
        <v>2014</v>
      </c>
      <c r="E113" s="33">
        <v>2015</v>
      </c>
      <c r="F113" s="33">
        <v>2016</v>
      </c>
      <c r="G113" s="33">
        <v>2017</v>
      </c>
      <c r="H113" s="33">
        <v>2018</v>
      </c>
      <c r="I113" s="33">
        <v>2019</v>
      </c>
      <c r="J113" s="33">
        <v>2020</v>
      </c>
      <c r="K113" s="33">
        <v>2021</v>
      </c>
      <c r="L113" s="33">
        <v>2022</v>
      </c>
      <c r="M113" s="171">
        <v>2023</v>
      </c>
      <c r="N113" s="33">
        <v>2024</v>
      </c>
      <c r="O113" s="33">
        <v>2025</v>
      </c>
    </row>
    <row r="114" spans="1:15" x14ac:dyDescent="0.15">
      <c r="A114" s="8" t="s">
        <v>51</v>
      </c>
      <c r="B114" s="2">
        <v>4814</v>
      </c>
      <c r="C114" s="2">
        <v>4814</v>
      </c>
      <c r="D114" s="2">
        <v>4814</v>
      </c>
      <c r="E114" s="2">
        <v>4857</v>
      </c>
      <c r="F114" s="2">
        <v>4881</v>
      </c>
      <c r="G114" s="2">
        <v>4895</v>
      </c>
      <c r="H114" s="2">
        <v>4934</v>
      </c>
      <c r="I114" s="2">
        <v>4993</v>
      </c>
      <c r="J114" s="2">
        <v>5072</v>
      </c>
      <c r="K114" s="2">
        <v>5153</v>
      </c>
      <c r="L114" s="2">
        <v>5219</v>
      </c>
      <c r="M114" s="26">
        <v>5547</v>
      </c>
      <c r="N114" s="2">
        <v>6074</v>
      </c>
      <c r="O114" s="2">
        <v>6145</v>
      </c>
    </row>
    <row r="115" spans="1:15" x14ac:dyDescent="0.15">
      <c r="A115" s="8" t="s">
        <v>52</v>
      </c>
      <c r="B115" s="2">
        <v>32539</v>
      </c>
      <c r="C115" s="2">
        <v>32539</v>
      </c>
      <c r="D115" s="2">
        <v>32539</v>
      </c>
      <c r="E115" s="2">
        <v>32832</v>
      </c>
      <c r="F115" s="2">
        <v>32969</v>
      </c>
      <c r="G115" s="2">
        <v>33065</v>
      </c>
      <c r="H115" s="2">
        <v>33331</v>
      </c>
      <c r="I115" s="2">
        <v>29753</v>
      </c>
      <c r="J115" s="2">
        <v>30234</v>
      </c>
      <c r="K115" s="2">
        <v>29738</v>
      </c>
      <c r="L115" s="2">
        <v>27350</v>
      </c>
      <c r="M115" s="26">
        <v>29075</v>
      </c>
      <c r="N115" s="2">
        <v>31838</v>
      </c>
      <c r="O115" s="2">
        <v>32223</v>
      </c>
    </row>
    <row r="116" spans="1:15" x14ac:dyDescent="0.15">
      <c r="A116" s="8" t="s">
        <v>93</v>
      </c>
      <c r="B116" s="35">
        <f>IF(B79=TRUE,1.837%,4%)</f>
        <v>0.04</v>
      </c>
      <c r="C116" s="35">
        <f>IF(C79=TRUE,2.064%,4%)</f>
        <v>0.04</v>
      </c>
      <c r="D116" s="35">
        <f>IF(D79=TRUE,2.038%,4%)</f>
        <v>0.04</v>
      </c>
      <c r="E116" s="35">
        <f>IF(E79=TRUE,2.037%,4%)</f>
        <v>0.04</v>
      </c>
      <c r="F116" s="35">
        <f>IF(F79=TRUE,3.143%,6.159%)</f>
        <v>6.1589999999999999E-2</v>
      </c>
      <c r="G116" s="35">
        <f>IF(G79=TRUE,3.143%,6.159%)</f>
        <v>6.1589999999999999E-2</v>
      </c>
      <c r="H116" s="35">
        <f>IF(H79=TRUE,3.143%,6.159%)</f>
        <v>6.1589999999999999E-2</v>
      </c>
      <c r="I116" s="35">
        <f>IF(I79=TRUE,5.86%,11.45%)</f>
        <v>0.11449999999999999</v>
      </c>
      <c r="J116" s="35">
        <f>IF(J79=TRUE,5.963%,11.45%)</f>
        <v>0.11449999999999999</v>
      </c>
      <c r="K116" s="35">
        <f>IF(K79=TRUE,5.963%,11.45%)</f>
        <v>0.11449999999999999</v>
      </c>
      <c r="L116" s="170">
        <f>IF(L79=TRUE,5.921%,11.45%)</f>
        <v>0.11449999999999999</v>
      </c>
      <c r="M116" s="182">
        <f>IF(M79=TRUE,5.921%,11.45%)</f>
        <v>0.11449999999999999</v>
      </c>
      <c r="N116" s="37">
        <v>0.1145</v>
      </c>
      <c r="O116" s="37">
        <v>0.1145</v>
      </c>
    </row>
    <row r="117" spans="1:15" x14ac:dyDescent="0.15">
      <c r="A117" s="8" t="s">
        <v>58</v>
      </c>
      <c r="B117" s="2">
        <f>IF($B$37=TRUE,IF(B79=TRUE,471,1024),0)</f>
        <v>0</v>
      </c>
      <c r="C117" s="2">
        <f>IF($B$37=TRUE,IF(C79=TRUE,529,1024),0)</f>
        <v>0</v>
      </c>
      <c r="D117" s="2">
        <f>IF($B$37=TRUE,IF(D79=TRUE,528,1024),0)</f>
        <v>0</v>
      </c>
      <c r="E117" s="2">
        <f>IF($B$37=TRUE,IF(E79=TRUE,528,1033),0)</f>
        <v>0</v>
      </c>
      <c r="F117" s="2">
        <f>IF($B$37=TRUE,IF(F79=TRUE,531,1039),0)</f>
        <v>0</v>
      </c>
      <c r="G117" s="2">
        <f>IF($B$37=TRUE,IF(G79=TRUE,533,1043),0)</f>
        <v>0</v>
      </c>
      <c r="H117" s="2">
        <f>IF($B$37=TRUE,IF(H79=TRUE,537,1052),0)</f>
        <v>0</v>
      </c>
      <c r="I117" s="2">
        <f>IF($B$37=TRUE,IF(I79=TRUE,0,0),0)</f>
        <v>0</v>
      </c>
      <c r="J117" s="2">
        <f>IF($B$37=TRUE,IF(J79=TRUE,0,0),0)</f>
        <v>0</v>
      </c>
      <c r="K117" s="2">
        <f>IF($B$37=TRUE,IF(K79=TRUE,0,0),0)</f>
        <v>0</v>
      </c>
      <c r="L117" s="2">
        <v>0</v>
      </c>
      <c r="M117" s="26">
        <v>0</v>
      </c>
      <c r="N117" s="2">
        <v>0</v>
      </c>
      <c r="O117" s="22">
        <v>0</v>
      </c>
    </row>
    <row r="118" spans="1:15" x14ac:dyDescent="0.15">
      <c r="A118" s="8" t="s">
        <v>57</v>
      </c>
      <c r="B118" s="2">
        <f>IF(B$79=TRUE,980,2133)</f>
        <v>2133</v>
      </c>
      <c r="C118" s="2">
        <f>IF(C$79=TRUE,1102,2133)</f>
        <v>2133</v>
      </c>
      <c r="D118" s="2">
        <f>IF(D$79=TRUE,1081,2133)</f>
        <v>2133</v>
      </c>
      <c r="E118" s="2">
        <f>IF(E$79=TRUE,1098,2152)</f>
        <v>2152</v>
      </c>
      <c r="F118" s="2">
        <f>IF(F$79=TRUE,1413,2769)</f>
        <v>2769</v>
      </c>
      <c r="G118" s="2">
        <f>IF(G$79=TRUE,1418,2778)</f>
        <v>2778</v>
      </c>
      <c r="H118" s="2">
        <f>IF(H$79=TRUE,1431,2801)</f>
        <v>2801</v>
      </c>
      <c r="I118" s="2">
        <f>IF(I79=TRUE,1452,2835)</f>
        <v>2835</v>
      </c>
      <c r="J118" s="2">
        <f>IF(J79=TRUE,1452,2881)</f>
        <v>2881</v>
      </c>
      <c r="K118" s="2">
        <f>IF(K79=TRUE,1452,2815)</f>
        <v>2815</v>
      </c>
      <c r="L118" s="2">
        <f>IF(L79=TRUE,1311,2534)</f>
        <v>2534</v>
      </c>
      <c r="M118" s="26">
        <f>IF(M79=TRUE,1394,2694)</f>
        <v>2694</v>
      </c>
      <c r="N118" s="2">
        <v>2950</v>
      </c>
      <c r="O118" s="22">
        <v>2986</v>
      </c>
    </row>
    <row r="119" spans="1:15" x14ac:dyDescent="0.15">
      <c r="A119" s="8"/>
      <c r="B119" s="2"/>
      <c r="C119" s="2"/>
      <c r="D119" s="20"/>
      <c r="E119" s="2"/>
      <c r="F119" s="22"/>
      <c r="G119" s="14"/>
      <c r="H119" s="14"/>
      <c r="I119" s="2"/>
      <c r="J119" s="2"/>
      <c r="K119" s="2"/>
      <c r="L119" s="2"/>
      <c r="M119" s="173"/>
      <c r="N119" s="2"/>
      <c r="O119" s="22"/>
    </row>
    <row r="120" spans="1:15" x14ac:dyDescent="0.15">
      <c r="A120" s="33" t="s">
        <v>94</v>
      </c>
      <c r="B120" s="33">
        <v>2012</v>
      </c>
      <c r="C120" s="33">
        <v>2013</v>
      </c>
      <c r="D120" s="33">
        <v>2014</v>
      </c>
      <c r="E120" s="33">
        <v>2015</v>
      </c>
      <c r="F120" s="33">
        <v>2016</v>
      </c>
      <c r="G120" s="33">
        <v>2017</v>
      </c>
      <c r="H120" s="33">
        <v>2018</v>
      </c>
      <c r="I120" s="33">
        <v>2019</v>
      </c>
      <c r="J120" s="33">
        <v>2020</v>
      </c>
      <c r="K120" s="33">
        <v>2021</v>
      </c>
      <c r="L120" s="33">
        <v>2022</v>
      </c>
      <c r="M120" s="171">
        <v>2023</v>
      </c>
      <c r="N120" s="33">
        <v>2024</v>
      </c>
      <c r="O120" s="33">
        <v>2025</v>
      </c>
    </row>
    <row r="121" spans="1:15" x14ac:dyDescent="0.15">
      <c r="A121" s="8" t="s">
        <v>95</v>
      </c>
      <c r="B121" s="13">
        <v>7.0999999999999994E-2</v>
      </c>
      <c r="C121" s="13">
        <v>7.7499999999999999E-2</v>
      </c>
      <c r="D121" s="13">
        <v>7.4999999999999997E-2</v>
      </c>
      <c r="E121" s="13">
        <v>6.9500000000000006E-2</v>
      </c>
      <c r="F121" s="13">
        <v>6.7500000000000004E-2</v>
      </c>
      <c r="G121" s="13">
        <v>6.6500000000000004E-2</v>
      </c>
      <c r="H121" s="13">
        <v>6.9000000000000006E-2</v>
      </c>
      <c r="I121" s="20">
        <v>6.9500000000000006E-2</v>
      </c>
      <c r="J121" s="20">
        <v>6.7000000000000004E-2</v>
      </c>
      <c r="K121" s="20">
        <v>7.0000000000000007E-2</v>
      </c>
      <c r="L121" s="20">
        <v>6.7500000000000004E-2</v>
      </c>
      <c r="M121" s="173">
        <v>6.6799999999999998E-2</v>
      </c>
      <c r="N121" s="185">
        <v>6.5699999999999995E-2</v>
      </c>
      <c r="O121" s="20">
        <v>6.5100000000000005E-2</v>
      </c>
    </row>
    <row r="122" spans="1:15" x14ac:dyDescent="0.15">
      <c r="A122" s="8" t="s">
        <v>96</v>
      </c>
      <c r="B122" s="38">
        <v>0.05</v>
      </c>
      <c r="C122" s="38">
        <v>5.6500000000000002E-2</v>
      </c>
      <c r="D122" s="38">
        <v>5.3999999999999999E-2</v>
      </c>
      <c r="E122" s="38">
        <v>4.8500000000000001E-2</v>
      </c>
      <c r="F122" s="13">
        <v>5.5E-2</v>
      </c>
      <c r="G122" s="13">
        <v>5.3999999999999999E-2</v>
      </c>
      <c r="H122" s="13">
        <v>5.6500000000000002E-2</v>
      </c>
      <c r="I122" s="20">
        <v>5.7000000000000002E-2</v>
      </c>
      <c r="J122" s="20">
        <v>5.45E-2</v>
      </c>
      <c r="K122" s="20">
        <v>5.7500000000000002E-2</v>
      </c>
      <c r="L122" s="20">
        <v>5.5E-2</v>
      </c>
      <c r="M122" s="173">
        <v>5.4300000000000001E-2</v>
      </c>
      <c r="N122" s="185">
        <v>5.3199999999999997E-2</v>
      </c>
      <c r="O122" s="20">
        <v>5.2600000000000001E-2</v>
      </c>
    </row>
    <row r="123" spans="1:15" x14ac:dyDescent="0.15">
      <c r="A123" s="8" t="s">
        <v>97</v>
      </c>
      <c r="B123" s="61">
        <v>50064</v>
      </c>
      <c r="C123" s="61">
        <v>50853</v>
      </c>
      <c r="D123" s="61">
        <v>51414</v>
      </c>
      <c r="E123" s="61">
        <v>51976</v>
      </c>
      <c r="F123" s="61">
        <v>52763</v>
      </c>
      <c r="G123" s="62">
        <v>53701</v>
      </c>
      <c r="H123" s="63">
        <v>54614</v>
      </c>
      <c r="I123" s="63">
        <v>55923</v>
      </c>
      <c r="J123" s="50">
        <v>57232</v>
      </c>
      <c r="K123" s="50">
        <v>58311</v>
      </c>
      <c r="L123" s="50">
        <v>59706</v>
      </c>
      <c r="M123" s="172">
        <v>66952</v>
      </c>
      <c r="N123" s="172">
        <v>71628</v>
      </c>
      <c r="O123" s="50">
        <v>75864</v>
      </c>
    </row>
    <row r="124" spans="1:15" x14ac:dyDescent="0.15">
      <c r="A124" s="8"/>
      <c r="B124" s="2"/>
      <c r="C124" s="2"/>
      <c r="D124" s="20"/>
      <c r="E124" s="2"/>
      <c r="F124" s="22"/>
      <c r="G124" s="14"/>
      <c r="H124" s="14"/>
      <c r="I124" s="2"/>
      <c r="J124" s="2"/>
      <c r="K124" s="2"/>
      <c r="L124" s="2"/>
      <c r="M124" s="173"/>
      <c r="N124" s="2"/>
      <c r="O124" s="22"/>
    </row>
    <row r="125" spans="1:15" x14ac:dyDescent="0.15">
      <c r="A125" s="9" t="s">
        <v>71</v>
      </c>
      <c r="B125" s="33">
        <v>2012</v>
      </c>
      <c r="C125" s="33">
        <v>2013</v>
      </c>
      <c r="D125" s="33">
        <v>2014</v>
      </c>
      <c r="E125" s="33">
        <v>2015</v>
      </c>
      <c r="F125" s="33">
        <v>2016</v>
      </c>
      <c r="G125" s="33">
        <v>2017</v>
      </c>
      <c r="H125" s="33">
        <v>2018</v>
      </c>
      <c r="I125" s="33">
        <v>2019</v>
      </c>
      <c r="J125" s="33">
        <v>2020</v>
      </c>
      <c r="K125" s="33">
        <v>2021</v>
      </c>
      <c r="L125" s="33">
        <v>2022</v>
      </c>
      <c r="M125" s="171">
        <v>2023</v>
      </c>
      <c r="N125" s="33">
        <v>2024</v>
      </c>
      <c r="O125" s="33">
        <v>2025</v>
      </c>
    </row>
    <row r="126" spans="1:15" x14ac:dyDescent="0.15">
      <c r="A126" s="8" t="s">
        <v>7</v>
      </c>
      <c r="B126" s="39">
        <v>0.12</v>
      </c>
      <c r="C126" s="39">
        <v>0.12</v>
      </c>
      <c r="D126" s="20">
        <v>0.109</v>
      </c>
      <c r="E126" s="13">
        <v>9.8000000000000004E-2</v>
      </c>
      <c r="F126" s="13">
        <v>9.8000000000000004E-2</v>
      </c>
      <c r="G126" s="13">
        <v>9.8000000000000004E-2</v>
      </c>
      <c r="H126" s="13">
        <v>9.4399999999999998E-2</v>
      </c>
      <c r="I126" s="13">
        <v>9.4399999999999998E-2</v>
      </c>
      <c r="J126" s="13">
        <f>I126</f>
        <v>9.4399999999999998E-2</v>
      </c>
      <c r="K126" s="13">
        <f t="shared" ref="K126:L126" si="4">J126</f>
        <v>9.4399999999999998E-2</v>
      </c>
      <c r="L126" s="154">
        <f t="shared" si="4"/>
        <v>9.4399999999999998E-2</v>
      </c>
      <c r="M126" s="181">
        <v>0</v>
      </c>
      <c r="N126" s="188">
        <f t="shared" ref="N126:O127" si="5">M126</f>
        <v>0</v>
      </c>
      <c r="O126" s="13">
        <f t="shared" si="5"/>
        <v>0</v>
      </c>
    </row>
    <row r="127" spans="1:15" x14ac:dyDescent="0.15">
      <c r="A127" s="8" t="s">
        <v>98</v>
      </c>
      <c r="B127" s="50">
        <v>9542</v>
      </c>
      <c r="C127" s="50">
        <v>9542</v>
      </c>
      <c r="D127" s="50">
        <v>9542</v>
      </c>
      <c r="E127" s="50">
        <v>8631</v>
      </c>
      <c r="F127" s="50">
        <v>8774</v>
      </c>
      <c r="G127" s="50">
        <v>8946</v>
      </c>
      <c r="H127" s="50">
        <v>8775</v>
      </c>
      <c r="I127" s="50">
        <v>8999</v>
      </c>
      <c r="J127" s="50">
        <v>9218</v>
      </c>
      <c r="K127" s="50">
        <v>9395</v>
      </c>
      <c r="L127" s="50">
        <v>9632</v>
      </c>
      <c r="M127" s="172">
        <v>0</v>
      </c>
      <c r="N127" s="189">
        <f t="shared" si="5"/>
        <v>0</v>
      </c>
      <c r="O127" s="50">
        <f t="shared" si="5"/>
        <v>0</v>
      </c>
    </row>
    <row r="128" spans="1:15" x14ac:dyDescent="0.15">
      <c r="A128" s="8"/>
      <c r="B128" s="2"/>
      <c r="C128" s="2"/>
      <c r="D128" s="2"/>
      <c r="E128" s="2"/>
      <c r="F128" s="2"/>
      <c r="G128" s="32"/>
      <c r="H128" s="32"/>
      <c r="I128" s="2"/>
      <c r="J128" s="2"/>
      <c r="K128" s="2"/>
      <c r="L128" s="2"/>
      <c r="M128" s="26"/>
      <c r="N128" s="2"/>
      <c r="O128" s="2"/>
    </row>
    <row r="129" spans="1:15" x14ac:dyDescent="0.15">
      <c r="A129" s="33"/>
      <c r="B129" s="33">
        <v>2012</v>
      </c>
      <c r="C129" s="33">
        <v>2013</v>
      </c>
      <c r="D129" s="33">
        <v>2014</v>
      </c>
      <c r="E129" s="33">
        <v>2015</v>
      </c>
      <c r="F129" s="33">
        <v>2016</v>
      </c>
      <c r="G129" s="33">
        <v>2017</v>
      </c>
      <c r="H129" s="33">
        <v>2018</v>
      </c>
      <c r="I129" s="33">
        <v>2019</v>
      </c>
      <c r="J129" s="33">
        <v>2020</v>
      </c>
      <c r="K129" s="33">
        <v>2021</v>
      </c>
      <c r="L129" s="33">
        <v>2022</v>
      </c>
      <c r="M129" s="171">
        <v>2023</v>
      </c>
      <c r="N129" s="33">
        <v>2024</v>
      </c>
      <c r="O129" s="33">
        <v>2025</v>
      </c>
    </row>
    <row r="130" spans="1:15" x14ac:dyDescent="0.15">
      <c r="A130" s="9" t="s">
        <v>9</v>
      </c>
      <c r="B130" s="2">
        <f t="shared" ref="B130:G130" si="6">IF($B$79,3640,7280)</f>
        <v>7280</v>
      </c>
      <c r="C130" s="2">
        <f t="shared" si="6"/>
        <v>7280</v>
      </c>
      <c r="D130" s="2">
        <f t="shared" si="6"/>
        <v>7280</v>
      </c>
      <c r="E130" s="2">
        <f t="shared" si="6"/>
        <v>7280</v>
      </c>
      <c r="F130" s="2">
        <f t="shared" si="6"/>
        <v>7280</v>
      </c>
      <c r="G130" s="2">
        <f t="shared" si="6"/>
        <v>7280</v>
      </c>
      <c r="H130" s="2">
        <f t="shared" ref="H130" si="7">IF(H$79,3640,7280)</f>
        <v>7280</v>
      </c>
      <c r="I130" s="2">
        <f>IF(I79,3640,7280)</f>
        <v>7280</v>
      </c>
      <c r="J130" s="2">
        <f>I130-250</f>
        <v>7030</v>
      </c>
      <c r="K130" s="2">
        <f>IF(K79,3335,6670)</f>
        <v>6670</v>
      </c>
      <c r="L130" s="2">
        <f>K130-360</f>
        <v>6310</v>
      </c>
      <c r="M130" s="26">
        <v>5030</v>
      </c>
      <c r="N130" s="186">
        <f>M130-1280</f>
        <v>3750</v>
      </c>
      <c r="O130" s="2">
        <v>2470</v>
      </c>
    </row>
    <row r="131" spans="1:15" x14ac:dyDescent="0.15">
      <c r="A131" s="9" t="s">
        <v>10</v>
      </c>
      <c r="B131" s="2">
        <f t="shared" ref="B131:G131" si="8">IF($B$79,1062,2123)</f>
        <v>2123</v>
      </c>
      <c r="C131" s="2">
        <f t="shared" si="8"/>
        <v>2123</v>
      </c>
      <c r="D131" s="2">
        <f t="shared" si="8"/>
        <v>2123</v>
      </c>
      <c r="E131" s="2">
        <f t="shared" si="8"/>
        <v>2123</v>
      </c>
      <c r="F131" s="2">
        <f t="shared" si="8"/>
        <v>2123</v>
      </c>
      <c r="G131" s="2">
        <f t="shared" si="8"/>
        <v>2123</v>
      </c>
      <c r="H131" s="2">
        <f t="shared" ref="H131" si="9">IF(H$79,1062,2123)</f>
        <v>2123</v>
      </c>
      <c r="I131" s="2">
        <f>IF(I79,1062,2123)</f>
        <v>2123</v>
      </c>
      <c r="J131" s="2">
        <f>IF(J79,1062,2123)</f>
        <v>2123</v>
      </c>
      <c r="K131" s="2">
        <f>IF(K79,1062,2123)</f>
        <v>2123</v>
      </c>
      <c r="L131" s="2">
        <f t="shared" ref="L131" si="10">IF(L79,1062,2123)</f>
        <v>2123</v>
      </c>
      <c r="M131" s="183">
        <v>2123</v>
      </c>
      <c r="N131" s="61">
        <f>N130*50%</f>
        <v>1875</v>
      </c>
      <c r="O131" s="10">
        <v>2123</v>
      </c>
    </row>
    <row r="132" spans="1:15" x14ac:dyDescent="0.15">
      <c r="A132" s="9" t="s">
        <v>99</v>
      </c>
      <c r="B132" s="2"/>
      <c r="C132" s="2"/>
      <c r="D132" s="20"/>
      <c r="E132" s="2"/>
      <c r="F132" s="22"/>
      <c r="G132" s="14"/>
      <c r="H132" s="14"/>
      <c r="I132" s="2"/>
      <c r="J132" s="2"/>
      <c r="K132" s="2"/>
      <c r="L132" s="2"/>
      <c r="M132" s="173"/>
      <c r="N132" s="2"/>
      <c r="O132" s="22"/>
    </row>
    <row r="133" spans="1:15" x14ac:dyDescent="0.15">
      <c r="A133" s="8"/>
      <c r="B133" s="2"/>
      <c r="C133" s="2"/>
      <c r="D133" s="20"/>
      <c r="E133" s="2"/>
      <c r="F133" s="22"/>
      <c r="G133" s="14"/>
      <c r="H133" s="14"/>
      <c r="I133" s="2"/>
      <c r="J133" s="2"/>
      <c r="K133" s="2"/>
      <c r="L133" s="2"/>
      <c r="M133" s="173"/>
      <c r="N133" s="2"/>
      <c r="O133" s="22"/>
    </row>
    <row r="134" spans="1:15" x14ac:dyDescent="0.15">
      <c r="A134" s="9" t="s">
        <v>12</v>
      </c>
      <c r="B134" s="33">
        <v>2012</v>
      </c>
      <c r="C134" s="33">
        <v>2013</v>
      </c>
      <c r="D134" s="33">
        <v>2014</v>
      </c>
      <c r="E134" s="33">
        <v>2015</v>
      </c>
      <c r="F134" s="33">
        <v>2016</v>
      </c>
      <c r="G134" s="33">
        <v>2017</v>
      </c>
      <c r="H134" s="33">
        <v>2018</v>
      </c>
      <c r="I134" s="33">
        <v>2019</v>
      </c>
      <c r="J134" s="33">
        <v>2020</v>
      </c>
      <c r="K134" s="33">
        <v>2021</v>
      </c>
      <c r="L134" s="33">
        <v>2022</v>
      </c>
      <c r="M134" s="171">
        <v>2023</v>
      </c>
      <c r="N134" s="33">
        <v>2024</v>
      </c>
      <c r="O134" s="33">
        <v>2025</v>
      </c>
    </row>
    <row r="135" spans="1:15" x14ac:dyDescent="0.15">
      <c r="A135" s="8"/>
      <c r="B135" s="20">
        <v>0.12</v>
      </c>
      <c r="C135" s="20">
        <v>0.14000000000000001</v>
      </c>
      <c r="D135" s="20">
        <v>0.14000000000000001</v>
      </c>
      <c r="E135" s="20">
        <v>0.14000000000000001</v>
      </c>
      <c r="F135" s="20">
        <v>0.14000000000000001</v>
      </c>
      <c r="G135" s="20">
        <v>0.14000000000000001</v>
      </c>
      <c r="H135" s="20">
        <v>0.14000000000000001</v>
      </c>
      <c r="I135" s="20">
        <v>0.14000000000000001</v>
      </c>
      <c r="J135" s="20">
        <v>0.14000000000000001</v>
      </c>
      <c r="K135" s="20">
        <v>0.14000000000000001</v>
      </c>
      <c r="L135" s="20">
        <v>0.14000000000000001</v>
      </c>
      <c r="M135" s="173">
        <v>0.14000000000000001</v>
      </c>
      <c r="N135" s="20">
        <v>0.1331</v>
      </c>
      <c r="O135" s="20">
        <v>0.127</v>
      </c>
    </row>
    <row r="136" spans="1:15" x14ac:dyDescent="0.15">
      <c r="A136" s="8"/>
      <c r="B136" s="2"/>
      <c r="C136" s="2"/>
      <c r="D136" s="2"/>
      <c r="E136" s="2"/>
      <c r="F136" s="2"/>
      <c r="G136" s="32"/>
      <c r="H136" s="32"/>
      <c r="I136" s="2"/>
      <c r="J136" s="2"/>
      <c r="K136" s="2"/>
      <c r="L136" s="2"/>
      <c r="M136" s="26"/>
      <c r="N136" s="2"/>
      <c r="O136" s="2"/>
    </row>
    <row r="137" spans="1:15" x14ac:dyDescent="0.15">
      <c r="A137" s="9" t="s">
        <v>6</v>
      </c>
      <c r="B137" s="33">
        <v>2012</v>
      </c>
      <c r="C137" s="33">
        <v>2013</v>
      </c>
      <c r="D137" s="33">
        <v>2014</v>
      </c>
      <c r="E137" s="33">
        <v>2015</v>
      </c>
      <c r="F137" s="33">
        <v>2016</v>
      </c>
      <c r="G137" s="33">
        <v>2017</v>
      </c>
      <c r="H137" s="33">
        <v>2018</v>
      </c>
      <c r="I137" s="33">
        <v>2019</v>
      </c>
      <c r="J137" s="33">
        <v>2020</v>
      </c>
      <c r="K137" s="33">
        <v>2021</v>
      </c>
      <c r="L137" s="33">
        <v>2022</v>
      </c>
      <c r="M137" s="171">
        <v>2023</v>
      </c>
      <c r="N137" s="33">
        <v>2024</v>
      </c>
      <c r="O137" s="33">
        <v>2025</v>
      </c>
    </row>
    <row r="138" spans="1:15" x14ac:dyDescent="0.15">
      <c r="A138" s="8" t="s">
        <v>100</v>
      </c>
      <c r="B138" s="64">
        <v>1040000</v>
      </c>
      <c r="C138" s="64">
        <v>1040000</v>
      </c>
      <c r="D138" s="64">
        <v>1040000</v>
      </c>
      <c r="E138" s="64">
        <v>1050000</v>
      </c>
      <c r="F138" s="64">
        <v>1050000</v>
      </c>
      <c r="G138" s="64">
        <v>1060000</v>
      </c>
      <c r="H138" s="64">
        <v>1060000</v>
      </c>
      <c r="I138" s="64">
        <v>1080000</v>
      </c>
      <c r="J138" s="64">
        <v>1090000</v>
      </c>
      <c r="K138" s="64">
        <v>1110000</v>
      </c>
      <c r="L138" s="64">
        <v>1130000</v>
      </c>
      <c r="M138" s="184">
        <v>1200000</v>
      </c>
      <c r="N138" s="187">
        <v>1310000</v>
      </c>
      <c r="O138" s="64">
        <v>1330000</v>
      </c>
    </row>
    <row r="139" spans="1:15" x14ac:dyDescent="0.15">
      <c r="A139" s="8">
        <v>12500</v>
      </c>
      <c r="B139" s="20">
        <v>2E-3</v>
      </c>
      <c r="C139" s="20">
        <v>2E-3</v>
      </c>
      <c r="D139" s="20">
        <v>2.5000000000000001E-3</v>
      </c>
      <c r="E139" s="20">
        <v>3.0000000000000001E-3</v>
      </c>
      <c r="F139" s="20">
        <v>3.0000000000000001E-3</v>
      </c>
      <c r="G139" s="20">
        <v>3.0000000000000001E-3</v>
      </c>
      <c r="H139" s="20">
        <v>2.5000000000000001E-3</v>
      </c>
      <c r="I139" s="20">
        <v>2.5000000000000001E-3</v>
      </c>
      <c r="J139" s="20">
        <v>2E-3</v>
      </c>
      <c r="K139" s="20">
        <v>2E-3</v>
      </c>
      <c r="L139" s="20">
        <v>1.5E-3</v>
      </c>
      <c r="M139" s="173">
        <v>1E-3</v>
      </c>
      <c r="N139" s="2">
        <v>1E-3</v>
      </c>
      <c r="O139" s="2">
        <v>1E-3</v>
      </c>
    </row>
    <row r="140" spans="1:15" x14ac:dyDescent="0.15">
      <c r="A140" s="8">
        <v>25000</v>
      </c>
      <c r="B140" s="65">
        <v>3.5000000000000001E-3</v>
      </c>
      <c r="C140" s="65">
        <v>3.5000000000000001E-3</v>
      </c>
      <c r="D140" s="65">
        <v>4.0000000000000001E-3</v>
      </c>
      <c r="E140" s="65">
        <v>4.4999999999999997E-3</v>
      </c>
      <c r="F140" s="65">
        <v>4.4999999999999997E-3</v>
      </c>
      <c r="G140" s="65">
        <v>4.4999999999999997E-3</v>
      </c>
      <c r="H140" s="65">
        <v>4.0000000000000001E-3</v>
      </c>
      <c r="I140" s="48">
        <v>3.5000000000000001E-3</v>
      </c>
      <c r="J140" s="48">
        <v>3.5000000000000001E-3</v>
      </c>
      <c r="K140" s="48">
        <v>3.0000000000000001E-3</v>
      </c>
      <c r="L140" s="48">
        <v>2.5000000000000001E-3</v>
      </c>
      <c r="M140" s="48">
        <v>2E-3</v>
      </c>
      <c r="N140" s="61">
        <v>2E-3</v>
      </c>
      <c r="O140" s="61">
        <v>2E-3</v>
      </c>
    </row>
    <row r="141" spans="1:15" x14ac:dyDescent="0.15">
      <c r="A141" s="8">
        <v>50000</v>
      </c>
      <c r="B141" s="20">
        <v>4.4999999999999997E-3</v>
      </c>
      <c r="C141" s="20">
        <v>4.4999999999999997E-3</v>
      </c>
      <c r="D141" s="20">
        <v>5.4999999999999997E-3</v>
      </c>
      <c r="E141" s="20">
        <v>6.0000000000000001E-3</v>
      </c>
      <c r="F141" s="20">
        <v>6.0000000000000001E-3</v>
      </c>
      <c r="G141" s="20">
        <v>6.0000000000000001E-3</v>
      </c>
      <c r="H141" s="20">
        <v>5.4999999999999997E-3</v>
      </c>
      <c r="I141" s="48">
        <v>5.0000000000000001E-3</v>
      </c>
      <c r="J141" s="48">
        <v>4.4999999999999997E-3</v>
      </c>
      <c r="K141" s="48">
        <v>4.0000000000000001E-3</v>
      </c>
      <c r="L141" s="48">
        <v>3.5000000000000001E-3</v>
      </c>
      <c r="M141" s="48">
        <v>2.5000000000000001E-3</v>
      </c>
      <c r="N141" s="2">
        <v>2.5000000000000001E-3</v>
      </c>
      <c r="O141" s="22">
        <v>2.5000000000000001E-3</v>
      </c>
    </row>
    <row r="142" spans="1:15" x14ac:dyDescent="0.15">
      <c r="A142" s="8">
        <v>75000</v>
      </c>
      <c r="B142" s="20">
        <v>6.0000000000000001E-3</v>
      </c>
      <c r="C142" s="20">
        <v>6.0000000000000001E-3</v>
      </c>
      <c r="D142" s="20">
        <v>7.0000000000000001E-3</v>
      </c>
      <c r="E142" s="20">
        <v>7.4999999999999997E-3</v>
      </c>
      <c r="F142" s="20">
        <v>7.4999999999999997E-3</v>
      </c>
      <c r="G142" s="20">
        <v>7.4999999999999997E-3</v>
      </c>
      <c r="H142" s="20">
        <v>7.0000000000000001E-3</v>
      </c>
      <c r="I142" s="48">
        <v>6.4999999999999997E-3</v>
      </c>
      <c r="J142" s="48">
        <v>6.0000000000000001E-3</v>
      </c>
      <c r="K142" s="48">
        <v>5.0000000000000001E-3</v>
      </c>
      <c r="L142" s="48">
        <v>4.4999999999999997E-3</v>
      </c>
      <c r="M142" s="48">
        <v>3.5000000000000001E-3</v>
      </c>
      <c r="N142" s="2">
        <v>3.5000000000000001E-3</v>
      </c>
      <c r="O142" s="22">
        <v>3.5000000000000001E-3</v>
      </c>
    </row>
    <row r="143" spans="1:15" x14ac:dyDescent="0.15">
      <c r="A143" s="8">
        <f>LOOKUP(A1,B137:O137,B138:O138)</f>
        <v>1330000</v>
      </c>
      <c r="B143" s="20">
        <v>1.2999999999999999E-2</v>
      </c>
      <c r="C143" s="20">
        <v>1.55E-2</v>
      </c>
      <c r="D143" s="20">
        <v>1.7999999999999999E-2</v>
      </c>
      <c r="E143" s="20">
        <v>2.0500000000000001E-2</v>
      </c>
      <c r="F143" s="20">
        <v>2.35E-2</v>
      </c>
      <c r="G143" s="20">
        <v>2.35E-2</v>
      </c>
      <c r="H143" s="20">
        <v>2.35E-2</v>
      </c>
      <c r="I143" s="48">
        <v>2.35E-2</v>
      </c>
      <c r="J143" s="48">
        <v>2.35E-2</v>
      </c>
      <c r="K143" s="48">
        <v>2.35E-2</v>
      </c>
      <c r="L143" s="48">
        <v>2.35E-2</v>
      </c>
      <c r="M143" s="48">
        <v>2.35E-2</v>
      </c>
      <c r="N143" s="2">
        <v>2.35E-2</v>
      </c>
      <c r="O143" s="22">
        <v>2.35E-2</v>
      </c>
    </row>
    <row r="144" spans="1:15" x14ac:dyDescent="0.15">
      <c r="A144" s="8" t="s">
        <v>102</v>
      </c>
      <c r="B144" s="19">
        <v>1</v>
      </c>
      <c r="C144" s="19">
        <v>1</v>
      </c>
      <c r="D144" s="19">
        <v>1</v>
      </c>
      <c r="E144" s="19">
        <v>1</v>
      </c>
      <c r="F144" s="19">
        <v>1</v>
      </c>
      <c r="G144" s="19">
        <v>1</v>
      </c>
      <c r="H144" s="19">
        <v>1</v>
      </c>
      <c r="I144" s="20">
        <f>H144-(1/30)</f>
        <v>0.96666666666666667</v>
      </c>
      <c r="J144" s="20">
        <f t="shared" ref="J144:M144" si="11">I144-(1/30)</f>
        <v>0.93333333333333335</v>
      </c>
      <c r="K144" s="20">
        <f t="shared" si="11"/>
        <v>0.9</v>
      </c>
      <c r="L144" s="20">
        <f t="shared" si="11"/>
        <v>0.8666666666666667</v>
      </c>
      <c r="M144" s="173">
        <f t="shared" si="11"/>
        <v>0.83333333333333337</v>
      </c>
      <c r="N144" s="20">
        <f t="shared" ref="N144:O144" si="12">M144-(1/30)</f>
        <v>0.8</v>
      </c>
      <c r="O144" s="20">
        <f t="shared" si="12"/>
        <v>0.76666666666666672</v>
      </c>
    </row>
    <row r="145" spans="8:11" x14ac:dyDescent="0.15">
      <c r="H145" s="33"/>
      <c r="K145" s="2"/>
    </row>
    <row r="146" spans="8:11" x14ac:dyDescent="0.15">
      <c r="H146" s="19"/>
      <c r="K146" s="33"/>
    </row>
    <row r="147" spans="8:11" x14ac:dyDescent="0.15">
      <c r="H147" s="2"/>
      <c r="K147" s="19"/>
    </row>
    <row r="148" spans="8:11" x14ac:dyDescent="0.15">
      <c r="H148" s="2"/>
    </row>
    <row r="149" spans="8:11" x14ac:dyDescent="0.15">
      <c r="H149" s="16"/>
    </row>
    <row r="150" spans="8:11" x14ac:dyDescent="0.15">
      <c r="H150" s="46"/>
      <c r="K150" s="16"/>
    </row>
    <row r="151" spans="8:11" x14ac:dyDescent="0.15">
      <c r="H151" s="47"/>
      <c r="K151" s="82"/>
    </row>
    <row r="152" spans="8:11" x14ac:dyDescent="0.15">
      <c r="H152" s="19"/>
      <c r="K152" s="20"/>
    </row>
    <row r="153" spans="8:11" x14ac:dyDescent="0.15">
      <c r="H153" s="19"/>
      <c r="K153" s="19"/>
    </row>
    <row r="154" spans="8:11" x14ac:dyDescent="0.15">
      <c r="H154" s="19"/>
      <c r="K154" s="19"/>
    </row>
    <row r="155" spans="8:11" x14ac:dyDescent="0.15">
      <c r="K155" s="1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O144"/>
  <sheetViews>
    <sheetView showGridLines="0" showRowColHeaders="0" zoomScale="47" workbookViewId="0"/>
  </sheetViews>
  <sheetFormatPr defaultColWidth="0.140625" defaultRowHeight="11.25" x14ac:dyDescent="0.15"/>
  <cols>
    <col min="1" max="1" width="36"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00">
        <f>'1'!E5</f>
        <v>2025</v>
      </c>
      <c r="B1" s="2" t="s">
        <v>44</v>
      </c>
      <c r="C1" s="2"/>
      <c r="D1" s="3">
        <f ca="1">D12-D24-D32-D35</f>
        <v>0</v>
      </c>
      <c r="E1" s="2"/>
      <c r="F1" s="4"/>
      <c r="G1" s="2"/>
      <c r="H1" s="2"/>
      <c r="I1" s="5"/>
      <c r="J1" s="2"/>
      <c r="K1" s="2"/>
      <c r="L1" s="2"/>
      <c r="M1" s="2"/>
      <c r="N1" s="2"/>
      <c r="O1" s="2"/>
    </row>
    <row r="2" spans="1:15" ht="15" x14ac:dyDescent="0.15">
      <c r="A2" s="201">
        <f>'1'!E35</f>
        <v>0</v>
      </c>
      <c r="B2" s="2" t="s">
        <v>101</v>
      </c>
      <c r="C2" s="2"/>
      <c r="D2" s="3"/>
      <c r="E2" s="2"/>
      <c r="F2" s="2"/>
      <c r="G2" s="2"/>
      <c r="H2" s="2"/>
      <c r="I2" s="5"/>
      <c r="J2" s="2"/>
      <c r="K2" s="2"/>
      <c r="L2" s="2"/>
      <c r="M2" s="2"/>
      <c r="N2" s="2"/>
      <c r="O2" s="2"/>
    </row>
    <row r="3" spans="1:15" x14ac:dyDescent="0.15">
      <c r="A3" s="202">
        <f>'1'!E50</f>
        <v>0</v>
      </c>
      <c r="B3" s="2" t="s">
        <v>42</v>
      </c>
      <c r="C3" s="2"/>
      <c r="D3" s="2"/>
      <c r="E3" s="2"/>
      <c r="F3" s="6"/>
      <c r="G3" s="2"/>
      <c r="H3" s="2"/>
      <c r="I3" s="2"/>
      <c r="J3" s="2"/>
      <c r="K3" s="2"/>
      <c r="L3" s="2"/>
      <c r="M3" s="2"/>
      <c r="N3" s="2"/>
      <c r="O3" s="2"/>
    </row>
    <row r="4" spans="1:15" x14ac:dyDescent="0.15">
      <c r="A4" s="203">
        <f>'1'!E28</f>
        <v>36526</v>
      </c>
      <c r="B4" s="2" t="s">
        <v>45</v>
      </c>
      <c r="C4" s="2"/>
      <c r="D4" s="2"/>
      <c r="E4" s="2"/>
      <c r="F4" s="7"/>
      <c r="G4" s="2"/>
      <c r="H4" s="2"/>
      <c r="I4" s="2"/>
      <c r="J4" s="2"/>
      <c r="K4" s="2"/>
      <c r="L4" s="2"/>
      <c r="M4" s="2"/>
      <c r="N4" s="2"/>
      <c r="O4" s="2"/>
    </row>
    <row r="5" spans="1:15" x14ac:dyDescent="0.15">
      <c r="A5" s="8"/>
      <c r="B5" s="2"/>
      <c r="C5" s="2"/>
      <c r="D5" s="2"/>
      <c r="E5" s="2"/>
      <c r="F5" s="4"/>
      <c r="G5" s="2"/>
      <c r="H5" s="2"/>
      <c r="I5" s="2"/>
      <c r="J5" s="2"/>
      <c r="K5" s="2"/>
      <c r="L5" s="2"/>
      <c r="M5" s="2"/>
      <c r="N5" s="2"/>
      <c r="O5" s="2"/>
    </row>
    <row r="6" spans="1:15" x14ac:dyDescent="0.15">
      <c r="A6" s="9" t="s">
        <v>46</v>
      </c>
      <c r="B6" s="2"/>
      <c r="C6" s="2"/>
      <c r="D6" s="2"/>
      <c r="E6" s="2"/>
      <c r="F6" s="4"/>
      <c r="G6" s="2"/>
      <c r="H6" s="2"/>
      <c r="I6" s="2"/>
      <c r="J6" s="2"/>
      <c r="K6" s="2"/>
      <c r="L6" s="2"/>
      <c r="M6" s="2"/>
      <c r="N6" s="2"/>
      <c r="O6" s="2"/>
    </row>
    <row r="7" spans="1:15" x14ac:dyDescent="0.15">
      <c r="A7" s="9" t="s">
        <v>47</v>
      </c>
      <c r="B7" s="10" t="s">
        <v>48</v>
      </c>
      <c r="C7" s="10" t="s">
        <v>49</v>
      </c>
      <c r="D7" s="11" t="s">
        <v>50</v>
      </c>
      <c r="E7" s="2"/>
      <c r="F7" s="12"/>
      <c r="G7" s="10"/>
      <c r="H7" s="10"/>
      <c r="I7" s="11"/>
      <c r="J7" s="2"/>
      <c r="K7" s="2"/>
      <c r="L7" s="2"/>
      <c r="M7" s="2"/>
      <c r="N7" s="2"/>
      <c r="O7" s="2"/>
    </row>
    <row r="8" spans="1:15" x14ac:dyDescent="0.15">
      <c r="A8" s="8" t="s">
        <v>51</v>
      </c>
      <c r="B8" s="2">
        <f>LOOKUP($A$1,$B$73:$O$73,B74:O74)</f>
        <v>26288</v>
      </c>
      <c r="C8" s="13">
        <f ca="1">LOOKUP($A$1,$B$73:$O$73,B80:G80)</f>
        <v>0.35820000000000002</v>
      </c>
      <c r="D8" s="14">
        <f ca="1">IF($A$3&gt;$B8,$B8*$C8,$A$3*$C8)</f>
        <v>0</v>
      </c>
      <c r="E8" s="2"/>
      <c r="F8" s="15"/>
      <c r="G8" s="2"/>
      <c r="H8" s="13"/>
      <c r="I8" s="14"/>
      <c r="J8" s="2"/>
      <c r="K8" s="2"/>
      <c r="L8" s="2"/>
      <c r="M8" s="2"/>
      <c r="N8" s="2"/>
      <c r="O8" s="2"/>
    </row>
    <row r="9" spans="1:15" x14ac:dyDescent="0.15">
      <c r="A9" s="8" t="s">
        <v>52</v>
      </c>
      <c r="B9" s="2">
        <f>LOOKUP($A$1,$B$73:$O$73,B75:O75)</f>
        <v>38441</v>
      </c>
      <c r="C9" s="13">
        <f ca="1">LOOKUP($A$1,$B$73:$O$73,B81:G81)</f>
        <v>0.35820000000000002</v>
      </c>
      <c r="D9" s="14">
        <f ca="1">MAX(IF($A$3&gt;$B9,($B9-$B8)*$C9,($A$3-$B8)*$C9),0)</f>
        <v>0</v>
      </c>
      <c r="E9" s="2"/>
      <c r="F9" s="15"/>
      <c r="G9" s="2"/>
      <c r="H9" s="13"/>
      <c r="I9" s="14"/>
      <c r="J9" s="2"/>
      <c r="K9" s="2"/>
      <c r="L9" s="2"/>
      <c r="M9" s="2"/>
      <c r="N9" s="2"/>
      <c r="O9" s="2"/>
    </row>
    <row r="10" spans="1:15" x14ac:dyDescent="0.15">
      <c r="A10" s="8" t="s">
        <v>53</v>
      </c>
      <c r="B10" s="2">
        <f>LOOKUP($A$1,$B$73:$O$73,B76:O76)</f>
        <v>76817</v>
      </c>
      <c r="C10" s="13">
        <f ca="1">LOOKUP($A$1,$B$73:$O$73,B82:G82)</f>
        <v>0.37480000000000002</v>
      </c>
      <c r="D10" s="14">
        <f ca="1">MAX(IF($A$3&gt;$B10,($B10-$B9)*$C10,($A$3-$B9)*$C10),0)</f>
        <v>0</v>
      </c>
      <c r="E10" s="2"/>
      <c r="F10" s="15"/>
      <c r="G10" s="2"/>
      <c r="H10" s="13"/>
      <c r="I10" s="14"/>
      <c r="J10" s="2"/>
      <c r="K10" s="2"/>
      <c r="L10" s="2"/>
      <c r="M10" s="2"/>
      <c r="N10" s="2"/>
      <c r="O10" s="2"/>
    </row>
    <row r="11" spans="1:15" x14ac:dyDescent="0.15">
      <c r="A11" s="8" t="s">
        <v>54</v>
      </c>
      <c r="B11" s="16">
        <v>1E+100</v>
      </c>
      <c r="C11" s="13">
        <f ca="1">LOOKUP($A$1,$B$73:$O$73,B83:G83)</f>
        <v>0.495</v>
      </c>
      <c r="D11" s="14">
        <f ca="1">MAX(IF($A$3&gt;$B11,($B11-$B10)*$C11,($A$3-$B10)*$C11),0)</f>
        <v>0</v>
      </c>
      <c r="E11" s="2"/>
      <c r="F11" s="15"/>
      <c r="G11" s="16"/>
      <c r="H11" s="13"/>
      <c r="I11" s="14"/>
      <c r="J11" s="2"/>
      <c r="K11" s="2"/>
      <c r="L11" s="2"/>
      <c r="M11" s="2"/>
      <c r="N11" s="2"/>
      <c r="O11" s="2"/>
    </row>
    <row r="12" spans="1:15" ht="15" x14ac:dyDescent="0.15">
      <c r="A12" s="8"/>
      <c r="B12" s="2"/>
      <c r="C12" s="2"/>
      <c r="D12" s="17">
        <f ca="1">ROUNDDOWN(SUM(D8:D11),0)</f>
        <v>0</v>
      </c>
      <c r="E12" s="2"/>
      <c r="F12" s="15"/>
      <c r="G12" s="2"/>
      <c r="H12" s="2"/>
      <c r="I12" s="18"/>
      <c r="J12" s="2"/>
      <c r="K12" s="2"/>
      <c r="L12" s="2"/>
      <c r="M12" s="2"/>
      <c r="N12" s="2"/>
      <c r="O12" s="2"/>
    </row>
    <row r="13" spans="1:15" ht="15" x14ac:dyDescent="0.15">
      <c r="A13" s="8"/>
      <c r="B13" s="2"/>
      <c r="C13" s="2"/>
      <c r="D13" s="18"/>
      <c r="E13" s="2"/>
      <c r="F13" s="8"/>
      <c r="G13" s="2"/>
      <c r="H13" s="2"/>
      <c r="I13" s="18"/>
      <c r="J13" s="2"/>
      <c r="K13" s="2"/>
      <c r="L13" s="2"/>
      <c r="M13" s="2"/>
      <c r="N13" s="2"/>
      <c r="O13" s="2"/>
    </row>
    <row r="14" spans="1:15" ht="15" x14ac:dyDescent="0.15">
      <c r="A14" s="9" t="s">
        <v>55</v>
      </c>
      <c r="B14" s="2">
        <v>250001</v>
      </c>
      <c r="C14" s="2"/>
      <c r="D14" s="41">
        <f>ROUNDDOWN(SUM(D15:D16),0)</f>
        <v>77500</v>
      </c>
      <c r="E14" s="2"/>
      <c r="F14" s="8"/>
      <c r="G14" s="2"/>
      <c r="H14" s="2"/>
      <c r="I14" s="18"/>
      <c r="J14" s="2"/>
      <c r="K14" s="2"/>
      <c r="L14" s="2"/>
      <c r="M14" s="2"/>
      <c r="N14" s="2"/>
      <c r="O14" s="2"/>
    </row>
    <row r="15" spans="1:15" ht="15" x14ac:dyDescent="0.15">
      <c r="A15" s="9"/>
      <c r="B15" s="2">
        <v>250000</v>
      </c>
      <c r="C15" s="36">
        <f>LOOKUP(A1,B73:O73,B85:O85)</f>
        <v>0.31</v>
      </c>
      <c r="D15" s="2">
        <f>IF(B14&gt;B15,B15*C15,B14*C15)</f>
        <v>77500</v>
      </c>
      <c r="E15" s="2"/>
      <c r="F15" s="8"/>
      <c r="G15" s="2"/>
      <c r="H15" s="2"/>
      <c r="I15" s="18"/>
      <c r="J15" s="2"/>
      <c r="K15" s="2"/>
      <c r="L15" s="2"/>
      <c r="M15" s="2"/>
      <c r="N15" s="2"/>
      <c r="O15" s="2"/>
    </row>
    <row r="16" spans="1:15" ht="15" x14ac:dyDescent="0.15">
      <c r="A16" s="2"/>
      <c r="B16" s="2"/>
      <c r="C16" s="19">
        <f>MAX(C15,0.25)</f>
        <v>0.31</v>
      </c>
      <c r="D16" s="2">
        <f>IF(B14&gt;B15,(B14-B15)*C16,0)</f>
        <v>0.31</v>
      </c>
      <c r="E16" s="2"/>
      <c r="F16" s="8"/>
      <c r="G16" s="2"/>
      <c r="H16" s="2"/>
      <c r="I16" s="18"/>
      <c r="J16" s="2"/>
      <c r="K16" s="2"/>
      <c r="L16" s="2"/>
      <c r="M16" s="2"/>
      <c r="N16" s="2"/>
      <c r="O16" s="2"/>
    </row>
    <row r="17" spans="1:15" ht="15" x14ac:dyDescent="0.15">
      <c r="A17" s="8"/>
      <c r="B17" s="2"/>
      <c r="C17" s="2"/>
      <c r="D17" s="18"/>
      <c r="E17" s="2"/>
      <c r="F17" s="8"/>
      <c r="G17" s="2"/>
      <c r="H17" s="2"/>
      <c r="I17" s="18"/>
      <c r="J17" s="2"/>
      <c r="K17" s="2"/>
      <c r="L17" s="2"/>
      <c r="M17" s="2"/>
      <c r="N17" s="2"/>
      <c r="O17" s="2"/>
    </row>
    <row r="18" spans="1:15" ht="15" x14ac:dyDescent="0.15">
      <c r="A18" s="9" t="s">
        <v>8</v>
      </c>
      <c r="B18" s="2"/>
      <c r="C18" s="2"/>
      <c r="D18" s="18"/>
      <c r="E18" s="2"/>
      <c r="F18" s="8"/>
      <c r="G18" s="2"/>
      <c r="H18" s="2"/>
      <c r="I18" s="18"/>
      <c r="J18" s="2"/>
      <c r="K18" s="2"/>
      <c r="L18" s="2"/>
      <c r="M18" s="2"/>
      <c r="N18" s="2"/>
      <c r="O18" s="2"/>
    </row>
    <row r="19" spans="1:15" ht="15" x14ac:dyDescent="0.15">
      <c r="A19" s="201">
        <f>'1'!E131</f>
        <v>0</v>
      </c>
      <c r="B19" s="2">
        <f>LOOKUP(A1,B87:O87,B88:O88)</f>
        <v>200000</v>
      </c>
      <c r="C19" s="19">
        <f>LOOKUP(A1,B87:O87,B89:O89)</f>
        <v>0.19</v>
      </c>
      <c r="D19" s="17">
        <f>IF(A19&lt;B19,A19*C19,(B19*C19)+((A19-B19)*C20))</f>
        <v>0</v>
      </c>
      <c r="E19" s="2"/>
      <c r="F19" s="8"/>
      <c r="G19" s="2"/>
      <c r="H19" s="2"/>
      <c r="I19" s="18"/>
      <c r="J19" s="2"/>
      <c r="K19" s="2"/>
      <c r="L19" s="2"/>
      <c r="M19" s="2"/>
      <c r="N19" s="2"/>
      <c r="O19" s="2"/>
    </row>
    <row r="20" spans="1:15" ht="15" x14ac:dyDescent="0.15">
      <c r="A20" s="8"/>
      <c r="B20" s="2"/>
      <c r="C20" s="19">
        <f>LOOKUP(A1,B87:O87,B90:O90)</f>
        <v>0.25800000000000001</v>
      </c>
      <c r="D20" s="18"/>
      <c r="E20" s="2"/>
      <c r="F20" s="8"/>
      <c r="G20" s="2"/>
      <c r="H20" s="2"/>
      <c r="I20" s="18"/>
      <c r="J20" s="2"/>
      <c r="K20" s="2"/>
      <c r="L20" s="2"/>
      <c r="M20" s="2"/>
      <c r="N20" s="2"/>
      <c r="O20" s="2"/>
    </row>
    <row r="21" spans="1:15" x14ac:dyDescent="0.15">
      <c r="A21" s="9" t="s">
        <v>56</v>
      </c>
      <c r="B21" s="2"/>
      <c r="C21" s="2"/>
      <c r="D21" s="2"/>
      <c r="E21" s="2"/>
      <c r="F21" s="8"/>
      <c r="G21" s="2"/>
      <c r="H21" s="2"/>
      <c r="I21" s="2"/>
      <c r="J21" s="2"/>
      <c r="K21" s="2"/>
      <c r="L21" s="2"/>
      <c r="M21" s="2"/>
      <c r="N21" s="2"/>
      <c r="O21" s="2"/>
    </row>
    <row r="22" spans="1:15" x14ac:dyDescent="0.15">
      <c r="A22" s="9" t="s">
        <v>57</v>
      </c>
      <c r="B22" s="10">
        <f>LOOKUP(A1,B73:O73,B92:O92)</f>
        <v>3068</v>
      </c>
      <c r="C22" s="10"/>
      <c r="D22" s="11"/>
      <c r="E22" s="2"/>
      <c r="F22" s="9"/>
      <c r="G22" s="10"/>
      <c r="H22" s="10"/>
      <c r="I22" s="11"/>
      <c r="J22" s="2"/>
      <c r="K22" s="2"/>
      <c r="L22" s="2"/>
      <c r="M22" s="2"/>
      <c r="N22" s="2"/>
      <c r="O22" s="2"/>
    </row>
    <row r="23" spans="1:15" x14ac:dyDescent="0.15">
      <c r="A23" s="8" t="s">
        <v>58</v>
      </c>
      <c r="B23" s="2">
        <f>LOOKUP(A1,B73:O73,B94:O94)</f>
        <v>0</v>
      </c>
      <c r="C23" s="2"/>
      <c r="D23" s="14"/>
      <c r="E23" s="2"/>
      <c r="F23" s="8"/>
      <c r="G23" s="2"/>
      <c r="H23" s="2"/>
      <c r="I23" s="14"/>
      <c r="J23" s="2"/>
      <c r="K23" s="2"/>
      <c r="L23" s="2"/>
      <c r="M23" s="2"/>
      <c r="N23" s="2"/>
      <c r="O23" s="2"/>
    </row>
    <row r="24" spans="1:15" ht="15" x14ac:dyDescent="0.15">
      <c r="A24" s="8" t="s">
        <v>59</v>
      </c>
      <c r="B24" s="2">
        <f>LOOKUP($A$1,$B$73:$O$73,B74:O74)</f>
        <v>26288</v>
      </c>
      <c r="C24" s="2">
        <f>LOOKUP($A$1,$B$73:$O$73,B93:O93)</f>
        <v>6.3369999999999996E-2</v>
      </c>
      <c r="D24" s="17">
        <f ca="1">MIN(MAX(IF(A3&gt;B24,B22-((A3-B24)*C24),B22),B23),D12)</f>
        <v>0</v>
      </c>
      <c r="E24" s="2"/>
      <c r="F24" s="8"/>
      <c r="G24" s="2"/>
      <c r="H24" s="2"/>
      <c r="I24" s="18"/>
      <c r="J24" s="2"/>
      <c r="K24" s="2"/>
      <c r="L24" s="2"/>
      <c r="M24" s="2"/>
      <c r="N24" s="2"/>
      <c r="O24" s="2"/>
    </row>
    <row r="25" spans="1:15" x14ac:dyDescent="0.15">
      <c r="A25" s="8"/>
      <c r="B25" s="2"/>
      <c r="C25" s="2"/>
      <c r="D25" s="20"/>
      <c r="E25" s="2"/>
      <c r="F25" s="21"/>
      <c r="G25" s="14"/>
      <c r="H25" s="14"/>
      <c r="I25" s="2"/>
      <c r="J25" s="2"/>
      <c r="K25" s="2"/>
      <c r="L25" s="2"/>
      <c r="M25" s="20"/>
      <c r="N25" s="2"/>
      <c r="O25" s="22"/>
    </row>
    <row r="26" spans="1:15" x14ac:dyDescent="0.15">
      <c r="A26" s="8"/>
      <c r="B26" s="2"/>
      <c r="C26" s="2"/>
      <c r="D26" s="20"/>
      <c r="E26" s="2"/>
      <c r="F26" s="21"/>
      <c r="G26" s="14"/>
      <c r="H26" s="14"/>
      <c r="I26" s="2"/>
      <c r="J26" s="2"/>
      <c r="K26" s="2"/>
      <c r="L26" s="2"/>
      <c r="M26" s="20"/>
      <c r="N26" s="2"/>
      <c r="O26" s="22"/>
    </row>
    <row r="27" spans="1:15" x14ac:dyDescent="0.15">
      <c r="A27" s="9" t="s">
        <v>60</v>
      </c>
      <c r="B27" s="14">
        <f>A3</f>
        <v>0</v>
      </c>
      <c r="C27" s="2"/>
      <c r="D27" s="2"/>
      <c r="E27" s="2"/>
      <c r="F27" s="15"/>
      <c r="G27" s="2"/>
      <c r="H27" s="2"/>
      <c r="I27" s="2"/>
      <c r="J27" s="2"/>
      <c r="K27" s="2"/>
      <c r="L27" s="2"/>
      <c r="M27" s="2"/>
      <c r="N27" s="2"/>
      <c r="O27" s="2"/>
    </row>
    <row r="28" spans="1:15" x14ac:dyDescent="0.15">
      <c r="A28" s="8" t="s">
        <v>51</v>
      </c>
      <c r="B28" s="2">
        <f>LOOKUP($A$1,$B$96:$O$96,B97:O97)</f>
        <v>12169</v>
      </c>
      <c r="C28" s="2">
        <f>LOOKUP($A$1,$B$96:$O$96,B102:O102)</f>
        <v>8.0530000000000004E-2</v>
      </c>
      <c r="D28" s="14">
        <f>IF(B27&gt;$B28,$B28*$C28,B27*$C28)</f>
        <v>0</v>
      </c>
      <c r="E28" s="2"/>
      <c r="F28" s="15"/>
      <c r="G28" s="2"/>
      <c r="H28" s="2"/>
      <c r="I28" s="14"/>
      <c r="J28" s="2"/>
      <c r="K28" s="2"/>
      <c r="L28" s="2"/>
      <c r="M28" s="2"/>
      <c r="N28" s="2"/>
      <c r="O28" s="2"/>
    </row>
    <row r="29" spans="1:15" x14ac:dyDescent="0.15">
      <c r="A29" s="8" t="s">
        <v>52</v>
      </c>
      <c r="B29" s="2">
        <f>LOOKUP($A$1,$B$96:$O$96,B98:O98)</f>
        <v>26288</v>
      </c>
      <c r="C29" s="2">
        <f>LOOKUP($A$1,$B$96:$O$96,B103:O103)</f>
        <v>0.30030000000000001</v>
      </c>
      <c r="D29" s="14">
        <f>MAX(IF(B27&gt;$B29,($B29-$B28)*$C29,(B27-$B28)*$C29),0)</f>
        <v>0</v>
      </c>
      <c r="E29" s="10"/>
      <c r="F29" s="15"/>
      <c r="G29" s="2"/>
      <c r="H29" s="2"/>
      <c r="I29" s="14"/>
      <c r="J29" s="2"/>
      <c r="K29" s="10"/>
      <c r="L29" s="10"/>
      <c r="M29" s="10"/>
      <c r="N29" s="10"/>
      <c r="O29" s="10"/>
    </row>
    <row r="30" spans="1:15" x14ac:dyDescent="0.15">
      <c r="A30" s="8" t="s">
        <v>53</v>
      </c>
      <c r="B30" s="2">
        <f>LOOKUP($A$1,$B$96:$O$96,B99:O99)</f>
        <v>43071</v>
      </c>
      <c r="C30" s="2">
        <f>LOOKUP($A$1,$B$96:$O$96,B104:O104)</f>
        <v>2.2579999999999999E-2</v>
      </c>
      <c r="D30" s="14">
        <f>MAX(IF(B27&gt;$B30,($B30-$B29)*$C30,(B27-$B29)*$C30),0)</f>
        <v>0</v>
      </c>
      <c r="E30" s="2"/>
      <c r="F30" s="15"/>
      <c r="G30" s="2"/>
      <c r="H30" s="2"/>
      <c r="I30" s="14"/>
      <c r="J30" s="2"/>
      <c r="K30" s="2"/>
      <c r="L30" s="2"/>
      <c r="M30" s="20"/>
      <c r="N30" s="2"/>
      <c r="O30" s="22"/>
    </row>
    <row r="31" spans="1:15" x14ac:dyDescent="0.15">
      <c r="A31" s="8" t="s">
        <v>54</v>
      </c>
      <c r="B31" s="2">
        <f>LOOKUP($A$1,$B$96:$O$96,B100:O100)</f>
        <v>129078</v>
      </c>
      <c r="C31" s="2">
        <f>-1*(LOOKUP($A$1,$B$96:$O$96,B105:O105))</f>
        <v>-6.5100000000000005E-2</v>
      </c>
      <c r="D31" s="14">
        <f>IF(B27&lt;B30,0,IF(B27&gt;$B31,($B31-$B30)*$C31,(B27-$B30)*$C31))</f>
        <v>0</v>
      </c>
      <c r="E31" s="2"/>
      <c r="F31" s="15"/>
      <c r="G31" s="2"/>
      <c r="H31" s="2"/>
      <c r="I31" s="14"/>
      <c r="J31" s="2"/>
      <c r="K31" s="2"/>
      <c r="L31" s="2"/>
      <c r="M31" s="20"/>
      <c r="N31" s="2"/>
      <c r="O31" s="22"/>
    </row>
    <row r="32" spans="1:15" ht="15" x14ac:dyDescent="0.15">
      <c r="A32" s="8" t="s">
        <v>61</v>
      </c>
      <c r="B32" s="2">
        <f>LOOKUP($A$1,$B$96:$O$96,B107:O107)</f>
        <v>5599</v>
      </c>
      <c r="C32" s="2">
        <f>LOOKUP($A$1,$B$96:$O$96,B108:O108)</f>
        <v>0</v>
      </c>
      <c r="D32" s="17">
        <f>MAX(SUM(D28:D31),C32)</f>
        <v>0</v>
      </c>
      <c r="E32" s="2"/>
      <c r="F32" s="15"/>
      <c r="G32" s="2"/>
      <c r="H32" s="2"/>
      <c r="I32" s="18"/>
      <c r="J32" s="2"/>
      <c r="K32" s="2"/>
      <c r="L32" s="2"/>
      <c r="M32" s="20"/>
      <c r="N32" s="2"/>
      <c r="O32" s="22"/>
    </row>
    <row r="33" spans="1:15" x14ac:dyDescent="0.15">
      <c r="A33" s="8"/>
      <c r="B33" s="2"/>
      <c r="C33" s="2"/>
      <c r="D33" s="14"/>
      <c r="E33" s="2"/>
      <c r="F33" s="21"/>
      <c r="G33" s="14"/>
      <c r="H33" s="14"/>
      <c r="I33" s="2"/>
      <c r="J33" s="2"/>
      <c r="K33" s="2"/>
      <c r="L33" s="2"/>
      <c r="M33" s="20"/>
      <c r="N33" s="2"/>
      <c r="O33" s="22"/>
    </row>
    <row r="34" spans="1:15" x14ac:dyDescent="0.15">
      <c r="A34" s="8" t="s">
        <v>118</v>
      </c>
      <c r="B34" s="205">
        <f>'1'!E9+D37+D38+D40+D59+'1'!E41</f>
        <v>0</v>
      </c>
      <c r="C34" s="2"/>
      <c r="D34" s="14"/>
      <c r="E34" s="2"/>
      <c r="F34" s="8"/>
      <c r="G34" s="2"/>
      <c r="H34" s="2"/>
      <c r="I34" s="14"/>
      <c r="J34" s="2"/>
      <c r="K34" s="2"/>
      <c r="L34" s="2"/>
      <c r="M34" s="20"/>
      <c r="N34" s="2"/>
      <c r="O34" s="22"/>
    </row>
    <row r="35" spans="1:15" ht="15" x14ac:dyDescent="0.15">
      <c r="A35" s="9" t="s">
        <v>119</v>
      </c>
      <c r="B35" s="13">
        <f>LOOKUP(A1,B73:O73,B110:O110)</f>
        <v>0.1202</v>
      </c>
      <c r="C35" s="2">
        <f>IF(MAX(A3+B34-B10,0)&gt;B34,B34,MAX((A3+B34-B10),0))</f>
        <v>0</v>
      </c>
      <c r="D35" s="23">
        <f>ROUNDDOWN(B35*C35,0)</f>
        <v>0</v>
      </c>
      <c r="E35" s="2"/>
      <c r="F35" s="8"/>
      <c r="G35" s="13"/>
      <c r="H35" s="2"/>
      <c r="I35" s="24"/>
      <c r="J35" s="2"/>
      <c r="K35" s="2"/>
      <c r="L35" s="2"/>
      <c r="M35" s="20"/>
      <c r="N35" s="2"/>
      <c r="O35" s="22"/>
    </row>
    <row r="36" spans="1:15" x14ac:dyDescent="0.15">
      <c r="A36" s="8"/>
      <c r="B36" s="2"/>
      <c r="C36" s="2"/>
      <c r="D36" s="20"/>
      <c r="E36" s="2"/>
      <c r="F36" s="22"/>
      <c r="G36" s="14"/>
      <c r="H36" s="14"/>
      <c r="I36" s="2"/>
      <c r="J36" s="2"/>
      <c r="K36" s="2"/>
      <c r="L36" s="2"/>
      <c r="M36" s="20"/>
      <c r="N36" s="2"/>
      <c r="O36" s="22"/>
    </row>
    <row r="37" spans="1:15" ht="15" x14ac:dyDescent="0.15">
      <c r="A37" s="9" t="s">
        <v>63</v>
      </c>
      <c r="B37" s="206" t="b">
        <f>'Calc 1a'!B37</f>
        <v>0</v>
      </c>
      <c r="C37" s="2">
        <f>IF(B37,LOOKUP(A1,B129:O129,B130:O130),0)</f>
        <v>0</v>
      </c>
      <c r="D37" s="25">
        <f>MIN(C37,A2)</f>
        <v>0</v>
      </c>
      <c r="E37" s="2"/>
      <c r="F37" s="22"/>
      <c r="G37" s="14"/>
      <c r="H37" s="14"/>
      <c r="I37" s="2"/>
      <c r="J37" s="2"/>
      <c r="K37" s="2"/>
      <c r="L37" s="2"/>
      <c r="M37" s="20"/>
      <c r="N37" s="2"/>
      <c r="O37" s="22"/>
    </row>
    <row r="38" spans="1:15" ht="15" x14ac:dyDescent="0.15">
      <c r="A38" s="9" t="s">
        <v>64</v>
      </c>
      <c r="B38" s="206"/>
      <c r="C38" s="2"/>
      <c r="D38" s="25">
        <f>IF(B37*B38,LOOKUP(A1,B129:O129,B131:O131),0)</f>
        <v>0</v>
      </c>
      <c r="E38" s="2"/>
      <c r="F38" s="22"/>
      <c r="G38" s="14"/>
      <c r="H38" s="14"/>
      <c r="I38" s="2"/>
      <c r="J38" s="2"/>
      <c r="K38" s="2"/>
      <c r="L38" s="2"/>
      <c r="M38" s="20"/>
      <c r="N38" s="2"/>
      <c r="O38" s="22"/>
    </row>
    <row r="39" spans="1:15" ht="15" x14ac:dyDescent="0.15">
      <c r="A39" s="9"/>
      <c r="B39" s="26"/>
      <c r="C39" s="2"/>
      <c r="D39" s="27"/>
      <c r="E39" s="2"/>
      <c r="F39" s="22"/>
      <c r="G39" s="14"/>
      <c r="H39" s="14"/>
      <c r="I39" s="2"/>
      <c r="J39" s="2"/>
      <c r="K39" s="2"/>
      <c r="L39" s="2"/>
      <c r="M39" s="20"/>
      <c r="N39" s="2"/>
      <c r="O39" s="22"/>
    </row>
    <row r="40" spans="1:15" ht="15" x14ac:dyDescent="0.15">
      <c r="A40" s="9" t="s">
        <v>65</v>
      </c>
      <c r="B40" s="207">
        <f>A2-D37-D38-D59-D50</f>
        <v>0</v>
      </c>
      <c r="C40" s="2">
        <f>LOOKUP(A1,B134:O134,B135:O135)</f>
        <v>0.127</v>
      </c>
      <c r="D40" s="29">
        <f>ROUNDUP(C40*B40,0)</f>
        <v>0</v>
      </c>
      <c r="E40" s="2"/>
      <c r="F40" s="22"/>
      <c r="G40" s="14"/>
      <c r="H40" s="14"/>
      <c r="I40" s="2"/>
      <c r="J40" s="2"/>
      <c r="K40" s="2"/>
      <c r="L40" s="2"/>
      <c r="M40" s="20"/>
      <c r="N40" s="2"/>
      <c r="O40" s="22"/>
    </row>
    <row r="41" spans="1:15" ht="15" x14ac:dyDescent="0.15">
      <c r="A41" s="8"/>
      <c r="B41" s="26"/>
      <c r="C41" s="2"/>
      <c r="D41" s="27"/>
      <c r="E41" s="2"/>
      <c r="F41" s="22"/>
      <c r="G41" s="14"/>
      <c r="H41" s="14"/>
      <c r="I41" s="2"/>
      <c r="J41" s="2"/>
      <c r="K41" s="2"/>
      <c r="L41" s="2"/>
      <c r="M41" s="20"/>
      <c r="N41" s="2"/>
      <c r="O41" s="22"/>
    </row>
    <row r="42" spans="1:15" x14ac:dyDescent="0.15">
      <c r="A42" s="9" t="s">
        <v>66</v>
      </c>
      <c r="B42" s="2">
        <f>LOOKUP(A1,B113:O113,B114:O114)</f>
        <v>6145</v>
      </c>
      <c r="C42" s="2">
        <f>LOOKUP(A1,B113:O113,B116:O116)</f>
        <v>0.1145</v>
      </c>
      <c r="D42" s="28">
        <f>ROUNDUP(IF(A3&gt;B42,(C42*(A3-B42))+B43,B43),0)</f>
        <v>0</v>
      </c>
      <c r="E42" s="2"/>
      <c r="F42" s="22"/>
      <c r="G42" s="14"/>
      <c r="H42" s="14"/>
      <c r="I42" s="2"/>
      <c r="J42" s="2"/>
      <c r="K42" s="2"/>
      <c r="L42" s="2"/>
      <c r="M42" s="20"/>
      <c r="N42" s="2"/>
      <c r="O42" s="22"/>
    </row>
    <row r="43" spans="1:15" x14ac:dyDescent="0.15">
      <c r="A43" s="8" t="s">
        <v>67</v>
      </c>
      <c r="B43" s="2">
        <f>LOOKUP($A$1,$B$113:$O$113,B117:O117)</f>
        <v>0</v>
      </c>
      <c r="C43" s="2"/>
      <c r="D43" s="28"/>
      <c r="E43" s="2"/>
      <c r="F43" s="22"/>
      <c r="G43" s="14"/>
      <c r="H43" s="14"/>
      <c r="I43" s="2"/>
      <c r="J43" s="2"/>
      <c r="K43" s="2"/>
      <c r="L43" s="2"/>
      <c r="M43" s="20"/>
      <c r="N43" s="2"/>
      <c r="O43" s="22"/>
    </row>
    <row r="44" spans="1:15" ht="15" x14ac:dyDescent="0.15">
      <c r="A44" s="8" t="s">
        <v>68</v>
      </c>
      <c r="B44" s="2">
        <f>LOOKUP($A$1,$B$113:$O$113,B118:O118)</f>
        <v>2986</v>
      </c>
      <c r="C44" s="2"/>
      <c r="D44" s="23">
        <f>MIN(D42,B44)</f>
        <v>0</v>
      </c>
      <c r="E44" s="2"/>
      <c r="F44" s="22"/>
      <c r="G44" s="14"/>
      <c r="H44" s="14"/>
      <c r="I44" s="2"/>
      <c r="J44" s="2"/>
      <c r="K44" s="2"/>
      <c r="L44" s="2"/>
      <c r="M44" s="20"/>
      <c r="N44" s="2"/>
      <c r="O44" s="22"/>
    </row>
    <row r="45" spans="1:15" x14ac:dyDescent="0.15">
      <c r="A45" s="8"/>
      <c r="B45" s="2"/>
      <c r="C45" s="2"/>
      <c r="D45" s="20"/>
      <c r="E45" s="2"/>
      <c r="F45" s="22"/>
      <c r="G45" s="14"/>
      <c r="H45" s="14"/>
      <c r="I45" s="2"/>
      <c r="J45" s="2"/>
      <c r="K45" s="2"/>
      <c r="L45" s="2"/>
      <c r="M45" s="20"/>
      <c r="N45" s="2"/>
      <c r="O45" s="22"/>
    </row>
    <row r="46" spans="1:15" ht="15" x14ac:dyDescent="0.15">
      <c r="A46" s="9" t="s">
        <v>69</v>
      </c>
      <c r="B46" s="2">
        <f>LOOKUP(A1,B120:O120,B123:O123)</f>
        <v>75864</v>
      </c>
      <c r="C46" s="2">
        <f>LOOKUP(A1,B120:O120,B122:O122)</f>
        <v>5.2600000000000001E-2</v>
      </c>
      <c r="D46" s="23">
        <f>IF($A$3&gt;B46,B46*C46,A3*C46)</f>
        <v>0</v>
      </c>
      <c r="E46" s="2"/>
      <c r="F46" s="22"/>
      <c r="G46" s="14"/>
      <c r="H46" s="14"/>
      <c r="I46" s="2"/>
      <c r="J46" s="2"/>
      <c r="K46" s="2"/>
      <c r="L46" s="2"/>
      <c r="M46" s="20"/>
      <c r="N46" s="2"/>
      <c r="O46" s="22"/>
    </row>
    <row r="47" spans="1:15" ht="15" x14ac:dyDescent="0.15">
      <c r="A47" s="9" t="s">
        <v>70</v>
      </c>
      <c r="B47" s="2">
        <f>LOOKUP(A1,B120:O120,B123:O123)</f>
        <v>75864</v>
      </c>
      <c r="C47" s="2">
        <f>LOOKUP(A1,B120:O120,B121:O121)</f>
        <v>6.5100000000000005E-2</v>
      </c>
      <c r="D47" s="23">
        <f>IF($A$3&gt;B47,B47*C47,A3*C47)</f>
        <v>0</v>
      </c>
      <c r="E47" s="2"/>
      <c r="F47" s="22"/>
      <c r="G47" s="14"/>
      <c r="H47" s="14"/>
      <c r="I47" s="2"/>
      <c r="J47" s="2"/>
      <c r="K47" s="2"/>
      <c r="L47" s="2"/>
      <c r="M47" s="20"/>
      <c r="N47" s="2"/>
      <c r="O47" s="22"/>
    </row>
    <row r="48" spans="1:15" x14ac:dyDescent="0.15">
      <c r="A48" s="8"/>
      <c r="B48" s="2"/>
      <c r="C48" s="2"/>
      <c r="D48" s="20"/>
      <c r="E48" s="2"/>
      <c r="F48" s="22"/>
      <c r="G48" s="14"/>
      <c r="H48" s="14"/>
      <c r="I48" s="2"/>
      <c r="J48" s="2"/>
      <c r="K48" s="2"/>
      <c r="L48" s="2"/>
      <c r="M48" s="20"/>
      <c r="N48" s="2"/>
      <c r="O48" s="22"/>
    </row>
    <row r="49" spans="1:15" x14ac:dyDescent="0.15">
      <c r="A49" s="9" t="s">
        <v>71</v>
      </c>
      <c r="B49" s="2">
        <f>LOOKUP(A1,B125:O125,B127:O127)</f>
        <v>0</v>
      </c>
      <c r="C49" s="2">
        <f>LOOKUP(A1,B125:O125,B126:O126)</f>
        <v>0</v>
      </c>
      <c r="D49" s="42">
        <f>MIN(A2*C49,B49)</f>
        <v>0</v>
      </c>
      <c r="E49" s="2"/>
      <c r="F49" s="22"/>
      <c r="G49" s="14"/>
      <c r="H49" s="14"/>
      <c r="I49" s="2"/>
      <c r="J49" s="2"/>
      <c r="K49" s="2"/>
      <c r="L49" s="2"/>
      <c r="M49" s="20"/>
      <c r="N49" s="2"/>
      <c r="O49" s="22"/>
    </row>
    <row r="50" spans="1:15" ht="15" x14ac:dyDescent="0.15">
      <c r="A50" s="8" t="b">
        <v>1</v>
      </c>
      <c r="B50" s="2">
        <f>B37*A50</f>
        <v>0</v>
      </c>
      <c r="C50" s="2"/>
      <c r="D50" s="23">
        <f>IF(B50=1,D49,0)</f>
        <v>0</v>
      </c>
      <c r="E50" s="2"/>
      <c r="F50" s="22"/>
      <c r="G50" s="14"/>
      <c r="H50" s="14"/>
      <c r="I50" s="2"/>
      <c r="J50" s="2"/>
      <c r="K50" s="2"/>
      <c r="L50" s="2"/>
      <c r="M50" s="20"/>
      <c r="N50" s="2"/>
      <c r="O50" s="22"/>
    </row>
    <row r="51" spans="1:15" x14ac:dyDescent="0.15">
      <c r="A51" s="8"/>
      <c r="B51" s="2"/>
      <c r="C51" s="2"/>
      <c r="D51" s="20"/>
      <c r="E51" s="2"/>
      <c r="F51" s="22"/>
      <c r="G51" s="14"/>
      <c r="H51" s="14"/>
      <c r="I51" s="2"/>
      <c r="J51" s="2"/>
      <c r="K51" s="2"/>
      <c r="L51" s="2"/>
      <c r="M51" s="20"/>
      <c r="N51" s="2"/>
      <c r="O51" s="22"/>
    </row>
    <row r="52" spans="1:15" ht="15" x14ac:dyDescent="0.15">
      <c r="A52" s="9" t="s">
        <v>6</v>
      </c>
      <c r="B52" s="204">
        <f>'1'!E8</f>
        <v>0</v>
      </c>
      <c r="C52" s="2"/>
      <c r="D52" s="17">
        <f>SUM(D53:D57)</f>
        <v>0</v>
      </c>
      <c r="E52" s="2"/>
      <c r="F52" s="22"/>
      <c r="G52" s="14"/>
      <c r="H52" s="14"/>
      <c r="I52" s="2"/>
      <c r="J52" s="2"/>
      <c r="K52" s="2"/>
      <c r="L52" s="2"/>
      <c r="M52" s="20"/>
      <c r="N52" s="2"/>
      <c r="O52" s="22"/>
    </row>
    <row r="53" spans="1:15" x14ac:dyDescent="0.15">
      <c r="A53" s="8" t="s">
        <v>51</v>
      </c>
      <c r="B53" s="2">
        <f>A139</f>
        <v>12500</v>
      </c>
      <c r="C53" s="13">
        <f>LOOKUP($A$1,$B$137:$O$137,B139:O139)</f>
        <v>1E-3</v>
      </c>
      <c r="D53" s="2">
        <f>IF($B$52&lt;B53,0,IF($B$52&lt;B54,$B$52*C53,0))</f>
        <v>0</v>
      </c>
      <c r="E53" s="2"/>
      <c r="F53" s="22"/>
      <c r="G53" s="14"/>
      <c r="H53" s="14"/>
      <c r="I53" s="2"/>
      <c r="J53" s="2"/>
      <c r="K53" s="2"/>
      <c r="L53" s="2"/>
      <c r="M53" s="20"/>
      <c r="N53" s="2"/>
      <c r="O53" s="22"/>
    </row>
    <row r="54" spans="1:15" x14ac:dyDescent="0.15">
      <c r="A54" s="8" t="s">
        <v>52</v>
      </c>
      <c r="B54" s="2">
        <f>A140</f>
        <v>25000</v>
      </c>
      <c r="C54" s="13">
        <f>LOOKUP($A$1,$B$137:$O$137,B140:O140)</f>
        <v>2E-3</v>
      </c>
      <c r="D54" s="2">
        <f>IF($B$52&lt;B54,0,IF($B$52&lt;B55,$B$52*C54,0))</f>
        <v>0</v>
      </c>
      <c r="E54" s="2"/>
      <c r="F54" s="22"/>
      <c r="G54" s="14"/>
      <c r="H54" s="14"/>
      <c r="I54" s="2"/>
      <c r="J54" s="2"/>
      <c r="K54" s="2"/>
      <c r="L54" s="2"/>
      <c r="M54" s="20"/>
      <c r="N54" s="2"/>
      <c r="O54" s="22"/>
    </row>
    <row r="55" spans="1:15" x14ac:dyDescent="0.15">
      <c r="A55" s="8" t="s">
        <v>53</v>
      </c>
      <c r="B55" s="2">
        <f>A141</f>
        <v>50000</v>
      </c>
      <c r="C55" s="13">
        <f>LOOKUP($A$1,$B$137:$O$137,B141:O141)</f>
        <v>2.5000000000000001E-3</v>
      </c>
      <c r="D55" s="2">
        <f>IF($B$52&lt;B55,0,IF($B$52&lt;B56,$B$52*C55,0))</f>
        <v>0</v>
      </c>
      <c r="E55" s="2"/>
      <c r="F55" s="22"/>
      <c r="G55" s="14"/>
      <c r="H55" s="14"/>
      <c r="I55" s="2"/>
      <c r="J55" s="2"/>
      <c r="K55" s="2"/>
      <c r="L55" s="2"/>
      <c r="M55" s="20"/>
      <c r="N55" s="2"/>
      <c r="O55" s="22"/>
    </row>
    <row r="56" spans="1:15" x14ac:dyDescent="0.15">
      <c r="A56" s="8" t="s">
        <v>54</v>
      </c>
      <c r="B56" s="2">
        <f>A142</f>
        <v>75000</v>
      </c>
      <c r="C56" s="13">
        <f>LOOKUP($A$1,$B$137:$O$137,B142:O142)</f>
        <v>3.5000000000000001E-3</v>
      </c>
      <c r="D56" s="2">
        <f>IF($B$52&lt;B56,0,IF($B$52&lt;B57,$B$52*C56,0))</f>
        <v>0</v>
      </c>
      <c r="E56" s="2"/>
      <c r="F56" s="22"/>
      <c r="G56" s="14"/>
      <c r="H56" s="14"/>
      <c r="I56" s="2"/>
      <c r="J56" s="2"/>
      <c r="K56" s="2"/>
      <c r="L56" s="2"/>
      <c r="M56" s="20"/>
      <c r="N56" s="2"/>
      <c r="O56" s="22"/>
    </row>
    <row r="57" spans="1:15" x14ac:dyDescent="0.15">
      <c r="A57" s="8" t="s">
        <v>72</v>
      </c>
      <c r="B57" s="2">
        <f>A143</f>
        <v>1330000</v>
      </c>
      <c r="C57" s="13">
        <f>LOOKUP($A$1,$B$137:$O$137,B143:O143)</f>
        <v>2.35E-2</v>
      </c>
      <c r="D57" s="2">
        <f>IF($B$52&gt;B57,(C56*B57)+(C57*(B52-B57)),0)</f>
        <v>0</v>
      </c>
      <c r="E57" s="2"/>
      <c r="F57" s="22"/>
      <c r="G57" s="14"/>
      <c r="H57" s="14"/>
      <c r="I57" s="2"/>
      <c r="J57" s="2"/>
      <c r="K57" s="2"/>
      <c r="L57" s="2"/>
      <c r="M57" s="20"/>
      <c r="N57" s="2"/>
      <c r="O57" s="22"/>
    </row>
    <row r="58" spans="1:15" x14ac:dyDescent="0.15">
      <c r="A58" s="8"/>
      <c r="B58" s="2"/>
      <c r="C58" s="2"/>
      <c r="D58" s="20"/>
      <c r="E58" s="2"/>
      <c r="F58" s="22"/>
      <c r="G58" s="14"/>
      <c r="H58" s="14"/>
      <c r="I58" s="2"/>
      <c r="J58" s="2"/>
      <c r="K58" s="2"/>
      <c r="L58" s="2"/>
      <c r="M58" s="20"/>
      <c r="N58" s="2"/>
      <c r="O58" s="22"/>
    </row>
    <row r="59" spans="1:15" ht="15" x14ac:dyDescent="0.15">
      <c r="A59" s="9" t="s">
        <v>19</v>
      </c>
      <c r="B59" s="204"/>
      <c r="C59" s="2"/>
      <c r="D59" s="29">
        <f>SUM(D60:D63)</f>
        <v>0</v>
      </c>
      <c r="E59" s="2"/>
      <c r="F59" s="22"/>
      <c r="G59" s="14"/>
      <c r="H59" s="14"/>
      <c r="I59" s="2"/>
      <c r="J59" s="2"/>
      <c r="K59" s="2"/>
      <c r="L59" s="2"/>
      <c r="M59" s="20"/>
      <c r="N59" s="2"/>
      <c r="O59" s="22"/>
    </row>
    <row r="60" spans="1:15" x14ac:dyDescent="0.15">
      <c r="A60" s="8" t="s">
        <v>51</v>
      </c>
      <c r="B60" s="2">
        <v>525</v>
      </c>
      <c r="C60" s="20">
        <v>1.2500000000000001E-2</v>
      </c>
      <c r="D60" s="2">
        <f>IF($B$59&lt;B60,0,IF($B$59&lt;B61,$A$2*C60,0))</f>
        <v>0</v>
      </c>
      <c r="E60" s="2"/>
      <c r="F60" s="22"/>
      <c r="G60" s="14"/>
      <c r="H60" s="14"/>
      <c r="I60" s="2"/>
      <c r="J60" s="2"/>
      <c r="K60" s="2"/>
      <c r="L60" s="2"/>
      <c r="M60" s="20"/>
      <c r="N60" s="2"/>
      <c r="O60" s="22"/>
    </row>
    <row r="61" spans="1:15" x14ac:dyDescent="0.15">
      <c r="A61" s="8" t="s">
        <v>52</v>
      </c>
      <c r="B61" s="2">
        <v>875</v>
      </c>
      <c r="C61" s="19">
        <v>0.02</v>
      </c>
      <c r="D61" s="2">
        <f>IF($B$59&lt;B61,0,IF($B$59&lt;B62,$A$2*C61,0))</f>
        <v>0</v>
      </c>
      <c r="E61" s="2"/>
      <c r="F61" s="22"/>
      <c r="G61" s="14"/>
      <c r="H61" s="14"/>
      <c r="I61" s="2"/>
      <c r="J61" s="2"/>
      <c r="K61" s="2"/>
      <c r="L61" s="2"/>
      <c r="M61" s="20"/>
      <c r="N61" s="2"/>
      <c r="O61" s="22"/>
    </row>
    <row r="62" spans="1:15" x14ac:dyDescent="0.15">
      <c r="A62" s="8" t="s">
        <v>53</v>
      </c>
      <c r="B62" s="2">
        <v>1225</v>
      </c>
      <c r="C62" s="19">
        <v>0.03</v>
      </c>
      <c r="D62" s="2">
        <f>IF($B$59&lt;B62,0,IF($B$59&lt;B63,$A$2*C62,0))</f>
        <v>0</v>
      </c>
      <c r="E62" s="2"/>
      <c r="F62" s="22"/>
      <c r="G62" s="14"/>
      <c r="H62" s="14"/>
      <c r="I62" s="2"/>
      <c r="J62" s="2"/>
      <c r="K62" s="2"/>
      <c r="L62" s="2"/>
      <c r="M62" s="20"/>
      <c r="N62" s="2"/>
      <c r="O62" s="22"/>
    </row>
    <row r="63" spans="1:15" x14ac:dyDescent="0.15">
      <c r="A63" s="8" t="s">
        <v>54</v>
      </c>
      <c r="B63" s="2">
        <v>1750</v>
      </c>
      <c r="C63" s="19">
        <v>0.04</v>
      </c>
      <c r="D63" s="2">
        <f>IF($B$59&lt;B63,0,$A$2*C63)</f>
        <v>0</v>
      </c>
      <c r="E63" s="2"/>
      <c r="F63" s="22"/>
      <c r="G63" s="14"/>
      <c r="H63" s="14"/>
      <c r="I63" s="2"/>
      <c r="J63" s="2"/>
      <c r="K63" s="2"/>
      <c r="L63" s="2"/>
      <c r="M63" s="20"/>
      <c r="N63" s="2"/>
      <c r="O63" s="22"/>
    </row>
    <row r="64" spans="1:15" x14ac:dyDescent="0.15">
      <c r="A64" s="8"/>
      <c r="B64" s="2"/>
      <c r="C64" s="2"/>
      <c r="D64" s="20"/>
      <c r="E64" s="2"/>
      <c r="F64" s="22"/>
      <c r="G64" s="14"/>
      <c r="H64" s="14"/>
      <c r="I64" s="2"/>
      <c r="J64" s="2"/>
      <c r="K64" s="2"/>
      <c r="L64" s="2"/>
      <c r="M64" s="20"/>
      <c r="N64" s="2"/>
      <c r="O64" s="22"/>
    </row>
    <row r="65" spans="1:15" ht="15" x14ac:dyDescent="0.15">
      <c r="A65" s="9"/>
      <c r="B65" s="2"/>
      <c r="C65" s="2"/>
      <c r="D65" s="40"/>
      <c r="E65" s="2"/>
      <c r="F65" s="22"/>
      <c r="G65" s="14"/>
      <c r="H65" s="14"/>
      <c r="I65" s="2"/>
      <c r="J65" s="2"/>
      <c r="K65" s="2"/>
      <c r="L65" s="2"/>
      <c r="M65" s="20"/>
      <c r="N65" s="2"/>
      <c r="O65" s="22"/>
    </row>
    <row r="66" spans="1:15" x14ac:dyDescent="0.15">
      <c r="A66" s="8"/>
      <c r="B66" s="20"/>
      <c r="C66" s="2"/>
      <c r="D66" s="20"/>
      <c r="E66" s="2"/>
      <c r="F66" s="22"/>
      <c r="G66" s="14"/>
      <c r="H66" s="14"/>
      <c r="I66" s="2"/>
      <c r="J66" s="2"/>
      <c r="K66" s="2"/>
      <c r="L66" s="2"/>
      <c r="M66" s="20"/>
      <c r="N66" s="2"/>
      <c r="O66" s="22"/>
    </row>
    <row r="67" spans="1:15" x14ac:dyDescent="0.15">
      <c r="A67" s="8"/>
      <c r="B67" s="2"/>
      <c r="C67" s="2"/>
      <c r="D67" s="20"/>
      <c r="E67" s="2"/>
      <c r="F67" s="22"/>
      <c r="G67" s="14"/>
      <c r="H67" s="14"/>
      <c r="I67" s="2"/>
      <c r="J67" s="2"/>
      <c r="K67" s="2"/>
      <c r="L67" s="2"/>
      <c r="M67" s="20"/>
      <c r="N67" s="2"/>
      <c r="O67" s="22"/>
    </row>
    <row r="68" spans="1:15" x14ac:dyDescent="0.15">
      <c r="A68" s="8"/>
      <c r="B68" s="45"/>
      <c r="C68" s="2"/>
      <c r="D68" s="20"/>
      <c r="E68" s="2"/>
      <c r="F68" s="22"/>
      <c r="G68" s="14"/>
      <c r="H68" s="14"/>
      <c r="I68" s="2"/>
      <c r="J68" s="2"/>
      <c r="K68" s="2"/>
      <c r="L68" s="2"/>
      <c r="M68" s="20"/>
      <c r="N68" s="2"/>
      <c r="O68" s="22"/>
    </row>
    <row r="69" spans="1:15" x14ac:dyDescent="0.15">
      <c r="A69" s="8"/>
      <c r="B69" s="2"/>
      <c r="C69" s="2"/>
      <c r="D69" s="20"/>
      <c r="E69" s="2"/>
      <c r="F69" s="22"/>
      <c r="G69" s="14"/>
      <c r="H69" s="14"/>
      <c r="I69" s="2"/>
      <c r="J69" s="2"/>
      <c r="K69" s="2"/>
      <c r="L69" s="2"/>
      <c r="M69" s="20"/>
      <c r="N69" s="2"/>
      <c r="O69" s="22"/>
    </row>
    <row r="70" spans="1:15" ht="15" x14ac:dyDescent="0.15">
      <c r="A70" s="31" t="s">
        <v>77</v>
      </c>
      <c r="B70" s="2"/>
      <c r="C70" s="2"/>
      <c r="D70" s="2"/>
      <c r="E70" s="2"/>
      <c r="F70" s="2"/>
      <c r="G70" s="32"/>
      <c r="H70" s="32"/>
      <c r="I70" s="2"/>
      <c r="J70" s="2"/>
      <c r="K70" s="2"/>
      <c r="L70" s="2"/>
      <c r="M70" s="2"/>
      <c r="N70" s="2"/>
      <c r="O70" s="2"/>
    </row>
    <row r="71" spans="1:15" x14ac:dyDescent="0.15">
      <c r="A71" s="8"/>
      <c r="B71" s="2"/>
      <c r="C71" s="2"/>
      <c r="D71" s="2"/>
      <c r="E71" s="2"/>
      <c r="F71" s="2"/>
      <c r="G71" s="2"/>
      <c r="H71" s="2"/>
      <c r="I71" s="2"/>
      <c r="J71" s="2"/>
      <c r="K71" s="2"/>
      <c r="L71" s="2"/>
      <c r="M71" s="2"/>
      <c r="N71" s="2"/>
      <c r="O71" s="2"/>
    </row>
    <row r="72" spans="1:15" x14ac:dyDescent="0.15">
      <c r="A72" s="9" t="s">
        <v>26</v>
      </c>
      <c r="B72" s="10"/>
      <c r="C72" s="10"/>
      <c r="D72" s="10"/>
      <c r="E72" s="11"/>
      <c r="F72" s="11"/>
      <c r="G72" s="2"/>
      <c r="H72" s="10"/>
      <c r="I72" s="10"/>
      <c r="J72" s="10"/>
      <c r="K72" s="10"/>
      <c r="L72" s="10"/>
      <c r="M72" s="10"/>
      <c r="N72" s="11"/>
      <c r="O72" s="11"/>
    </row>
    <row r="73" spans="1:15" x14ac:dyDescent="0.15">
      <c r="A73" s="9"/>
      <c r="B73" s="33">
        <v>2012</v>
      </c>
      <c r="C73" s="33">
        <v>2013</v>
      </c>
      <c r="D73" s="33">
        <v>2014</v>
      </c>
      <c r="E73" s="33">
        <v>2015</v>
      </c>
      <c r="F73" s="33">
        <v>2016</v>
      </c>
      <c r="G73" s="33">
        <v>2017</v>
      </c>
      <c r="H73" s="33">
        <v>2018</v>
      </c>
      <c r="I73" s="33">
        <v>2019</v>
      </c>
      <c r="J73" s="33">
        <v>2020</v>
      </c>
      <c r="K73" s="33">
        <v>2021</v>
      </c>
      <c r="L73" s="33">
        <v>2022</v>
      </c>
      <c r="M73" s="171">
        <v>2023</v>
      </c>
      <c r="N73" s="33">
        <v>2024</v>
      </c>
      <c r="O73" s="33">
        <v>2025</v>
      </c>
    </row>
    <row r="74" spans="1:15" x14ac:dyDescent="0.15">
      <c r="A74" s="8" t="s">
        <v>78</v>
      </c>
      <c r="B74" s="50">
        <v>18945</v>
      </c>
      <c r="C74" s="50">
        <v>19645</v>
      </c>
      <c r="D74" s="50">
        <v>19645</v>
      </c>
      <c r="E74" s="50">
        <v>19822</v>
      </c>
      <c r="F74" s="50">
        <v>19922</v>
      </c>
      <c r="G74" s="50">
        <v>19982</v>
      </c>
      <c r="H74" s="50">
        <v>20142</v>
      </c>
      <c r="I74" s="50">
        <v>20384</v>
      </c>
      <c r="J74" s="50">
        <v>20711</v>
      </c>
      <c r="K74" s="50">
        <v>21043</v>
      </c>
      <c r="L74" s="50">
        <v>21317</v>
      </c>
      <c r="M74" s="172">
        <v>22660</v>
      </c>
      <c r="N74" s="50">
        <v>24821</v>
      </c>
      <c r="O74" s="50">
        <v>26288</v>
      </c>
    </row>
    <row r="75" spans="1:15" x14ac:dyDescent="0.15">
      <c r="A75" s="8"/>
      <c r="B75" s="50">
        <f>IF($A$4&lt;1946-1-1,34055,33863)</f>
        <v>33863</v>
      </c>
      <c r="C75" s="50">
        <f>IF($A$4&lt;1946-1-1,33555,33363)</f>
        <v>33363</v>
      </c>
      <c r="D75" s="50">
        <f>IF($A$4&lt;1946-1-1,33555,33363)</f>
        <v>33363</v>
      </c>
      <c r="E75" s="50">
        <f>IF($A$4&lt;1946-1-1,33857,33589)</f>
        <v>33589</v>
      </c>
      <c r="F75" s="50">
        <f>IF($A$4&lt;1946-1-1,34027,33715)</f>
        <v>33715</v>
      </c>
      <c r="G75" s="50">
        <f>IF($A$4&lt;1946-1-1,34130,33791)</f>
        <v>33791</v>
      </c>
      <c r="H75" s="50">
        <f>IF($A$4&lt;1946-1-1,34404,33994)</f>
        <v>33994</v>
      </c>
      <c r="I75" s="50">
        <f>IF($A$4&lt;1946-1-1,34817,34300)</f>
        <v>34300</v>
      </c>
      <c r="J75" s="50">
        <f>IF($A$4&lt;1946-1-1,35375,34712)</f>
        <v>34712</v>
      </c>
      <c r="K75" s="50">
        <f>IF($A$4&lt;1946-1-1,35941,35129)</f>
        <v>35129</v>
      </c>
      <c r="L75" s="50">
        <f>IF($A$4&lt;1946-1-1,36409,35472)</f>
        <v>35472</v>
      </c>
      <c r="M75" s="172">
        <f>IF($A$4&lt;1946-1-1,38703,37149)</f>
        <v>37149</v>
      </c>
      <c r="N75" s="50">
        <f>IF($A$4&lt;1946-1-1,40021,38098)</f>
        <v>38098</v>
      </c>
      <c r="O75" s="50">
        <v>38441</v>
      </c>
    </row>
    <row r="76" spans="1:15" x14ac:dyDescent="0.15">
      <c r="A76" s="8"/>
      <c r="B76" s="50">
        <v>56491</v>
      </c>
      <c r="C76" s="50">
        <v>55991</v>
      </c>
      <c r="D76" s="50">
        <v>56531</v>
      </c>
      <c r="E76" s="50">
        <v>57585</v>
      </c>
      <c r="F76" s="50">
        <v>66421</v>
      </c>
      <c r="G76" s="50">
        <v>67072</v>
      </c>
      <c r="H76" s="50">
        <v>68507</v>
      </c>
      <c r="I76" s="50">
        <v>68507</v>
      </c>
      <c r="J76" s="50">
        <v>68507</v>
      </c>
      <c r="K76" s="50">
        <v>68507</v>
      </c>
      <c r="L76" s="50">
        <v>69398</v>
      </c>
      <c r="M76" s="172">
        <v>73031</v>
      </c>
      <c r="N76" s="50">
        <v>75518</v>
      </c>
      <c r="O76" s="50">
        <v>76817</v>
      </c>
    </row>
    <row r="77" spans="1:15" x14ac:dyDescent="0.15">
      <c r="A77" s="8"/>
      <c r="B77" s="2"/>
      <c r="C77" s="2"/>
      <c r="D77" s="2"/>
      <c r="E77" s="2"/>
      <c r="F77" s="2"/>
      <c r="G77" s="2"/>
      <c r="H77" s="2"/>
      <c r="I77" s="2"/>
      <c r="J77" s="2"/>
      <c r="K77" s="2"/>
      <c r="L77" s="2"/>
      <c r="M77" s="26"/>
      <c r="N77" s="2"/>
      <c r="O77" s="2"/>
    </row>
    <row r="78" spans="1:15" x14ac:dyDescent="0.15">
      <c r="A78" s="8" t="s">
        <v>79</v>
      </c>
      <c r="B78" s="51">
        <v>17168</v>
      </c>
      <c r="C78" s="43">
        <v>17533</v>
      </c>
      <c r="D78" s="51">
        <v>17868</v>
      </c>
      <c r="E78" s="51">
        <v>18203</v>
      </c>
      <c r="F78" s="51">
        <v>18537</v>
      </c>
      <c r="G78" s="51">
        <v>18810</v>
      </c>
      <c r="H78" s="51">
        <v>19085</v>
      </c>
      <c r="I78" s="51">
        <v>19360</v>
      </c>
      <c r="J78" s="51">
        <v>19603</v>
      </c>
      <c r="K78" s="51">
        <v>19968</v>
      </c>
      <c r="L78" s="51">
        <v>20090</v>
      </c>
      <c r="M78" s="70">
        <v>20607</v>
      </c>
      <c r="N78" s="51">
        <v>20880</v>
      </c>
      <c r="O78" s="51">
        <v>21186</v>
      </c>
    </row>
    <row r="79" spans="1:15" x14ac:dyDescent="0.15">
      <c r="A79" s="8" t="s">
        <v>80</v>
      </c>
      <c r="B79" s="2" t="b">
        <f t="shared" ref="B79:O79" si="0">$A$4&lt;B78</f>
        <v>0</v>
      </c>
      <c r="C79" s="2" t="b">
        <f t="shared" si="0"/>
        <v>0</v>
      </c>
      <c r="D79" s="2" t="b">
        <f t="shared" si="0"/>
        <v>0</v>
      </c>
      <c r="E79" s="2" t="b">
        <f t="shared" si="0"/>
        <v>0</v>
      </c>
      <c r="F79" s="2" t="b">
        <f t="shared" si="0"/>
        <v>0</v>
      </c>
      <c r="G79" s="2" t="b">
        <f t="shared" si="0"/>
        <v>0</v>
      </c>
      <c r="H79" s="2" t="b">
        <f t="shared" si="0"/>
        <v>0</v>
      </c>
      <c r="I79" s="2" t="b">
        <f t="shared" si="0"/>
        <v>0</v>
      </c>
      <c r="J79" s="2" t="b">
        <f t="shared" si="0"/>
        <v>0</v>
      </c>
      <c r="K79" s="2" t="b">
        <f t="shared" si="0"/>
        <v>0</v>
      </c>
      <c r="L79" s="2" t="b">
        <f t="shared" si="0"/>
        <v>0</v>
      </c>
      <c r="M79" s="26" t="b">
        <f t="shared" si="0"/>
        <v>0</v>
      </c>
      <c r="N79" s="2" t="b">
        <f t="shared" si="0"/>
        <v>0</v>
      </c>
      <c r="O79" s="2" t="b">
        <f t="shared" si="0"/>
        <v>0</v>
      </c>
    </row>
    <row r="80" spans="1:15" x14ac:dyDescent="0.15">
      <c r="A80" s="8" t="s">
        <v>81</v>
      </c>
      <c r="B80" s="20">
        <f>IF(B$79=TRUE,15.2%,33.1%)</f>
        <v>0.33100000000000002</v>
      </c>
      <c r="C80" s="20">
        <f>IF(C$79=TRUE,19.1%,37%)</f>
        <v>0.37</v>
      </c>
      <c r="D80" s="20">
        <f>IF(D$79=TRUE,18.35%,36.25%)</f>
        <v>0.36249999999999999</v>
      </c>
      <c r="E80" s="20">
        <f>IF(E$79=TRUE,18.6%,36.5%)</f>
        <v>0.36499999999999999</v>
      </c>
      <c r="F80" s="20">
        <f>IF(F$79=TRUE,18.65%,36.55%)</f>
        <v>0.36549999999999999</v>
      </c>
      <c r="G80" s="20">
        <f>IF(G$79=TRUE,18.65%,36.55%)</f>
        <v>0.36549999999999999</v>
      </c>
      <c r="H80" s="20">
        <f>IF(H$79=TRUE,18.65%,36.55%)</f>
        <v>0.36549999999999999</v>
      </c>
      <c r="I80" s="20">
        <f>IF(I79=TRUE,18.75%,36.65%)</f>
        <v>0.36649999999999999</v>
      </c>
      <c r="J80" s="20">
        <f>IF(J79=TRUE,19.45%,37.35%)</f>
        <v>0.3735</v>
      </c>
      <c r="K80" s="20">
        <f>IF(K79=TRUE,19.2%,37.1%)</f>
        <v>0.371</v>
      </c>
      <c r="L80" s="20">
        <f>IF(L79=TRUE,19.17%,37.07%)</f>
        <v>0.37070000000000003</v>
      </c>
      <c r="M80" s="173">
        <f>IF(M79=TRUE,19.03%,36.93%)</f>
        <v>0.36930000000000002</v>
      </c>
      <c r="N80" s="20">
        <v>0.36969999999999997</v>
      </c>
      <c r="O80" s="20">
        <v>0.35820000000000002</v>
      </c>
    </row>
    <row r="81" spans="1:15" x14ac:dyDescent="0.15">
      <c r="A81" s="8" t="s">
        <v>82</v>
      </c>
      <c r="B81" s="20">
        <f>IF(B$79=TRUE,24.05%,41.95%)</f>
        <v>0.41950000000000004</v>
      </c>
      <c r="C81" s="20">
        <f>IF(C$79=TRUE,24.1%,42%)</f>
        <v>0.42</v>
      </c>
      <c r="D81" s="20">
        <f>IF(D$79=TRUE,24.1%,42%)</f>
        <v>0.42</v>
      </c>
      <c r="E81" s="20">
        <f>IF(E$79=TRUE,24.1%,42%)</f>
        <v>0.42</v>
      </c>
      <c r="F81" s="20">
        <f>IF(F$79=TRUE,22.5%,40.4%)</f>
        <v>0.40399999999999997</v>
      </c>
      <c r="G81" s="20">
        <f>IF(G$79=TRUE,22.9%,40.8%)</f>
        <v>0.40799999999999997</v>
      </c>
      <c r="H81" s="20">
        <f>IF(H$79=TRUE,22.95%,40.85%)</f>
        <v>0.40850000000000003</v>
      </c>
      <c r="I81" s="20">
        <f>IF(I79=TRUE,20.2%,38.1%)</f>
        <v>0.38100000000000001</v>
      </c>
      <c r="J81" s="20">
        <f>IF(J79=TRUE,19.45%,37.35%)</f>
        <v>0.3735</v>
      </c>
      <c r="K81" s="20">
        <f>IF(K79=TRUE,19.2%,37.1%)</f>
        <v>0.371</v>
      </c>
      <c r="L81" s="20">
        <f>IF(L79=TRUE,19.17%,37.07%)</f>
        <v>0.37070000000000003</v>
      </c>
      <c r="M81" s="173">
        <f>IF(M80=TRUE,19.03%,36.93%)</f>
        <v>0.36930000000000002</v>
      </c>
      <c r="N81" s="20">
        <v>0.36969999999999997</v>
      </c>
      <c r="O81" s="20">
        <v>0.35820000000000002</v>
      </c>
    </row>
    <row r="82" spans="1:15" x14ac:dyDescent="0.15">
      <c r="A82" s="8" t="s">
        <v>83</v>
      </c>
      <c r="B82" s="20">
        <v>0.42</v>
      </c>
      <c r="C82" s="20">
        <v>0.42</v>
      </c>
      <c r="D82" s="20">
        <v>0.42</v>
      </c>
      <c r="E82" s="20">
        <v>0.42</v>
      </c>
      <c r="F82" s="20">
        <v>0.40400000000000003</v>
      </c>
      <c r="G82" s="20">
        <v>0.40799999999999997</v>
      </c>
      <c r="H82" s="20">
        <v>0.40849999999999997</v>
      </c>
      <c r="I82" s="20">
        <v>0.38100000000000001</v>
      </c>
      <c r="J82" s="20">
        <v>0.3735</v>
      </c>
      <c r="K82" s="20">
        <v>0.371</v>
      </c>
      <c r="L82" s="20">
        <v>0.37069999999999997</v>
      </c>
      <c r="M82" s="173">
        <v>0.36930000000000002</v>
      </c>
      <c r="N82" s="20">
        <v>0.36969999999999997</v>
      </c>
      <c r="O82" s="20">
        <v>0.37480000000000002</v>
      </c>
    </row>
    <row r="83" spans="1:15" x14ac:dyDescent="0.15">
      <c r="A83" s="8" t="s">
        <v>84</v>
      </c>
      <c r="B83" s="20">
        <v>0.52</v>
      </c>
      <c r="C83" s="20">
        <v>0.52</v>
      </c>
      <c r="D83" s="20">
        <v>0.52</v>
      </c>
      <c r="E83" s="20">
        <v>0.52</v>
      </c>
      <c r="F83" s="20">
        <v>0.52</v>
      </c>
      <c r="G83" s="20">
        <v>0.52</v>
      </c>
      <c r="H83" s="20">
        <v>0.51949999999999996</v>
      </c>
      <c r="I83" s="20">
        <v>0.51749999999999996</v>
      </c>
      <c r="J83" s="20">
        <v>0.495</v>
      </c>
      <c r="K83" s="20">
        <v>0.495</v>
      </c>
      <c r="L83" s="20">
        <v>0.495</v>
      </c>
      <c r="M83" s="173">
        <v>0.495</v>
      </c>
      <c r="N83" s="52">
        <v>0.495</v>
      </c>
      <c r="O83" s="20">
        <v>0.495</v>
      </c>
    </row>
    <row r="84" spans="1:15" x14ac:dyDescent="0.15">
      <c r="A84" s="8"/>
      <c r="B84" s="2"/>
      <c r="C84" s="2"/>
      <c r="D84" s="2"/>
      <c r="E84" s="2"/>
      <c r="F84" s="2"/>
      <c r="G84" s="2"/>
      <c r="H84" s="2"/>
      <c r="I84" s="2"/>
      <c r="J84" s="2"/>
      <c r="K84" s="2"/>
      <c r="L84" s="2"/>
      <c r="M84" s="26"/>
      <c r="N84" s="2"/>
      <c r="O84" s="2"/>
    </row>
    <row r="85" spans="1:15" x14ac:dyDescent="0.15">
      <c r="A85" s="8" t="s">
        <v>55</v>
      </c>
      <c r="B85" s="19">
        <v>0.25</v>
      </c>
      <c r="C85" s="19">
        <v>0.25</v>
      </c>
      <c r="D85" s="19">
        <v>0.22</v>
      </c>
      <c r="E85" s="19">
        <v>0.25</v>
      </c>
      <c r="F85" s="19">
        <v>0.25</v>
      </c>
      <c r="G85" s="19">
        <v>0.25</v>
      </c>
      <c r="H85" s="19">
        <v>0.25</v>
      </c>
      <c r="I85" s="19">
        <v>0.25</v>
      </c>
      <c r="J85" s="20">
        <v>0.26250000000000001</v>
      </c>
      <c r="K85" s="20">
        <v>0.26900000000000002</v>
      </c>
      <c r="L85" s="20">
        <v>0.26900000000000002</v>
      </c>
      <c r="M85" s="173">
        <v>0.26900000000000002</v>
      </c>
      <c r="N85" s="19">
        <v>0.33</v>
      </c>
      <c r="O85" s="19">
        <v>0.31</v>
      </c>
    </row>
    <row r="86" spans="1:15" x14ac:dyDescent="0.15">
      <c r="A86" s="8"/>
      <c r="B86" s="2"/>
      <c r="C86" s="2"/>
      <c r="D86" s="2"/>
      <c r="E86" s="2"/>
      <c r="F86" s="2"/>
      <c r="G86" s="2"/>
      <c r="H86" s="2"/>
      <c r="I86" s="2"/>
      <c r="J86" s="2"/>
      <c r="K86" s="2"/>
      <c r="L86" s="2"/>
      <c r="M86" s="26"/>
      <c r="N86" s="2"/>
      <c r="O86" s="2"/>
    </row>
    <row r="87" spans="1:15" x14ac:dyDescent="0.15">
      <c r="A87" s="9" t="s">
        <v>8</v>
      </c>
      <c r="B87" s="33">
        <v>2012</v>
      </c>
      <c r="C87" s="33">
        <v>2013</v>
      </c>
      <c r="D87" s="33">
        <v>2014</v>
      </c>
      <c r="E87" s="33">
        <v>2015</v>
      </c>
      <c r="F87" s="33">
        <v>2016</v>
      </c>
      <c r="G87" s="33">
        <v>2017</v>
      </c>
      <c r="H87" s="33">
        <v>2018</v>
      </c>
      <c r="I87" s="33">
        <v>2019</v>
      </c>
      <c r="J87" s="33">
        <v>2020</v>
      </c>
      <c r="K87" s="33">
        <v>2021</v>
      </c>
      <c r="L87" s="33">
        <v>2022</v>
      </c>
      <c r="M87" s="171">
        <v>2023</v>
      </c>
      <c r="N87" s="33">
        <v>2024</v>
      </c>
      <c r="O87" s="33">
        <v>2025</v>
      </c>
    </row>
    <row r="88" spans="1:15" x14ac:dyDescent="0.15">
      <c r="A88" s="8" t="s">
        <v>85</v>
      </c>
      <c r="B88" s="2">
        <v>200000</v>
      </c>
      <c r="C88" s="2">
        <v>200000</v>
      </c>
      <c r="D88" s="2">
        <v>200000</v>
      </c>
      <c r="E88" s="2">
        <v>200000</v>
      </c>
      <c r="F88" s="2">
        <v>200000</v>
      </c>
      <c r="G88" s="2">
        <v>200000</v>
      </c>
      <c r="H88" s="2">
        <v>200000</v>
      </c>
      <c r="I88" s="2">
        <v>200000</v>
      </c>
      <c r="J88" s="2">
        <v>200000</v>
      </c>
      <c r="K88" s="2">
        <v>245000</v>
      </c>
      <c r="L88" s="2">
        <v>395000</v>
      </c>
      <c r="M88" s="26">
        <v>200000</v>
      </c>
      <c r="N88" s="2">
        <v>200000</v>
      </c>
      <c r="O88" s="2">
        <v>200000</v>
      </c>
    </row>
    <row r="89" spans="1:15" x14ac:dyDescent="0.15">
      <c r="A89" s="8" t="s">
        <v>86</v>
      </c>
      <c r="B89" s="19">
        <v>0.2</v>
      </c>
      <c r="C89" s="19">
        <v>0.2</v>
      </c>
      <c r="D89" s="19">
        <v>0.2</v>
      </c>
      <c r="E89" s="19">
        <v>0.2</v>
      </c>
      <c r="F89" s="19">
        <v>0.2</v>
      </c>
      <c r="G89" s="19">
        <v>0.2</v>
      </c>
      <c r="H89" s="19">
        <v>0.2</v>
      </c>
      <c r="I89" s="53">
        <v>0.19</v>
      </c>
      <c r="J89" s="53">
        <v>0.16500000000000001</v>
      </c>
      <c r="K89" s="53">
        <v>0.15</v>
      </c>
      <c r="L89" s="19">
        <v>0.15</v>
      </c>
      <c r="M89" s="174">
        <v>0.19</v>
      </c>
      <c r="N89" s="19">
        <v>0.19</v>
      </c>
      <c r="O89" s="19">
        <v>0.19</v>
      </c>
    </row>
    <row r="90" spans="1:15" x14ac:dyDescent="0.15">
      <c r="A90" s="8" t="s">
        <v>87</v>
      </c>
      <c r="B90" s="19">
        <v>0.25</v>
      </c>
      <c r="C90" s="19">
        <v>0.25</v>
      </c>
      <c r="D90" s="19">
        <v>0.25</v>
      </c>
      <c r="E90" s="19">
        <v>0.25</v>
      </c>
      <c r="F90" s="19">
        <v>0.25</v>
      </c>
      <c r="G90" s="19">
        <v>0.25</v>
      </c>
      <c r="H90" s="19">
        <v>0.25</v>
      </c>
      <c r="I90" s="53">
        <v>0.25</v>
      </c>
      <c r="J90" s="53">
        <v>0.25</v>
      </c>
      <c r="K90" s="53">
        <v>0.25</v>
      </c>
      <c r="L90" s="19">
        <v>0.25800000000000001</v>
      </c>
      <c r="M90" s="175">
        <v>0.25800000000000001</v>
      </c>
      <c r="N90" s="53">
        <v>0.25800000000000001</v>
      </c>
      <c r="O90" s="20">
        <v>0.25800000000000001</v>
      </c>
    </row>
    <row r="91" spans="1:15" x14ac:dyDescent="0.15">
      <c r="A91" s="8"/>
      <c r="B91" s="2"/>
      <c r="C91" s="2"/>
      <c r="D91" s="2"/>
      <c r="E91" s="2"/>
      <c r="F91" s="2"/>
      <c r="G91" s="2"/>
      <c r="H91" s="2"/>
      <c r="I91" s="2"/>
      <c r="J91" s="2"/>
      <c r="K91" s="2"/>
      <c r="L91" s="2"/>
      <c r="M91" s="26"/>
      <c r="N91" s="2"/>
      <c r="O91" s="2"/>
    </row>
    <row r="92" spans="1:15" x14ac:dyDescent="0.15">
      <c r="A92" s="9" t="s">
        <v>88</v>
      </c>
      <c r="B92" s="54">
        <f>IF(B$79=TRUE,934,2001)</f>
        <v>2001</v>
      </c>
      <c r="C92" s="54">
        <f>IF(C$79=TRUE,1034,2033)</f>
        <v>2033</v>
      </c>
      <c r="D92" s="54">
        <f>IF(D$79=TRUE,1065,2103)</f>
        <v>2103</v>
      </c>
      <c r="E92" s="54">
        <f>IF(E$79=TRUE,1123,2203)</f>
        <v>2203</v>
      </c>
      <c r="F92" s="54">
        <f>IF(F$79=TRUE,1145,2242)</f>
        <v>2242</v>
      </c>
      <c r="G92" s="54">
        <f>IF(G$79=TRUE,1151,2254)</f>
        <v>2254</v>
      </c>
      <c r="H92" s="54">
        <f>IF(H$79=TRUE,1157,2265)</f>
        <v>2265</v>
      </c>
      <c r="I92" s="54">
        <f>IF(I79=TRUE,1268,2477)</f>
        <v>2477</v>
      </c>
      <c r="J92" s="54">
        <f>IF(J79=TRUE,1413,2711)</f>
        <v>2711</v>
      </c>
      <c r="K92" s="54">
        <f>IF(K79=TRUE,1453,2837)</f>
        <v>2837</v>
      </c>
      <c r="L92" s="54">
        <f>IF(L79=TRUE,1494,2888)</f>
        <v>2888</v>
      </c>
      <c r="M92" s="176">
        <f>IF(M79=TRUE,1588,3070)</f>
        <v>3070</v>
      </c>
      <c r="N92" s="55">
        <f>IF(N79=TRUE,1735,3362)</f>
        <v>3362</v>
      </c>
      <c r="O92" s="55">
        <v>3068</v>
      </c>
    </row>
    <row r="93" spans="1:15" x14ac:dyDescent="0.15">
      <c r="A93" s="8" t="s">
        <v>89</v>
      </c>
      <c r="B93" s="56">
        <v>0</v>
      </c>
      <c r="C93" s="56">
        <v>0</v>
      </c>
      <c r="D93" s="57">
        <f>IF(D$79=TRUE,2%,2%)</f>
        <v>0.02</v>
      </c>
      <c r="E93" s="57">
        <f>IF(E$79=TRUE,1.183%,2.32%)</f>
        <v>2.3199999999999998E-2</v>
      </c>
      <c r="F93" s="57">
        <f>IF(F$79=TRUE,2.46%,4.822%)</f>
        <v>4.8219999999999999E-2</v>
      </c>
      <c r="G93" s="57">
        <f>IF(G$79=TRUE,2.443%,4.787%)</f>
        <v>4.7869999999999996E-2</v>
      </c>
      <c r="H93" s="57">
        <f>IF(H$79=TRUE,2.389%,4.683%)</f>
        <v>4.6829999999999997E-2</v>
      </c>
      <c r="I93" s="57">
        <f>IF(I79=TRUE,2.633%,5.147%)</f>
        <v>5.1470000000000002E-2</v>
      </c>
      <c r="J93" s="57">
        <f>IF(J79=TRUE,2.954%,5.672%)</f>
        <v>5.672E-2</v>
      </c>
      <c r="K93" s="57">
        <f>IF(K79=TRUE,3.093%,5.977%)</f>
        <v>5.9770000000000004E-2</v>
      </c>
      <c r="L93" s="57">
        <f>IF(L79=TRUE,3.106%,6.007%)</f>
        <v>6.0069999999999998E-2</v>
      </c>
      <c r="M93" s="177">
        <f>IF(M79=TRUE,3.141%,6.095%)</f>
        <v>6.0949999999999997E-2</v>
      </c>
      <c r="N93" s="56">
        <v>6.6299999999999998E-2</v>
      </c>
      <c r="O93" s="20">
        <v>6.3369999999999996E-2</v>
      </c>
    </row>
    <row r="94" spans="1:15" x14ac:dyDescent="0.15">
      <c r="A94" s="8" t="s">
        <v>90</v>
      </c>
      <c r="B94" s="58">
        <f>B92</f>
        <v>2001</v>
      </c>
      <c r="C94" s="58">
        <f>C92</f>
        <v>2033</v>
      </c>
      <c r="D94" s="59">
        <f>IF(D$79=TRUE,693,1366)</f>
        <v>1366</v>
      </c>
      <c r="E94" s="59">
        <f>IF(E$79=TRUE,685,1342)</f>
        <v>1342</v>
      </c>
      <c r="F94" s="59">
        <v>0</v>
      </c>
      <c r="G94" s="59">
        <v>0</v>
      </c>
      <c r="H94" s="59">
        <v>0</v>
      </c>
      <c r="I94" s="59">
        <v>0</v>
      </c>
      <c r="J94" s="59">
        <v>0</v>
      </c>
      <c r="K94" s="59">
        <v>0</v>
      </c>
      <c r="L94" s="58">
        <v>0</v>
      </c>
      <c r="M94" s="178">
        <v>0</v>
      </c>
      <c r="N94" s="58">
        <v>0</v>
      </c>
      <c r="O94" s="58">
        <v>0</v>
      </c>
    </row>
    <row r="95" spans="1:15" x14ac:dyDescent="0.15">
      <c r="A95" s="8"/>
      <c r="B95" s="20"/>
      <c r="C95" s="2"/>
      <c r="D95" s="22"/>
      <c r="E95" s="14"/>
      <c r="F95" s="14"/>
      <c r="G95" s="2"/>
      <c r="H95" s="2"/>
      <c r="I95" s="2"/>
      <c r="J95" s="2"/>
      <c r="K95" s="20"/>
      <c r="L95" s="2"/>
      <c r="M95" s="179"/>
      <c r="N95" s="14"/>
      <c r="O95" s="14"/>
    </row>
    <row r="96" spans="1:15" x14ac:dyDescent="0.15">
      <c r="A96" s="9" t="s">
        <v>41</v>
      </c>
      <c r="B96" s="33">
        <v>2012</v>
      </c>
      <c r="C96" s="33">
        <v>2013</v>
      </c>
      <c r="D96" s="33">
        <v>2014</v>
      </c>
      <c r="E96" s="33">
        <v>2015</v>
      </c>
      <c r="F96" s="33">
        <v>2016</v>
      </c>
      <c r="G96" s="33">
        <v>2017</v>
      </c>
      <c r="H96" s="33">
        <v>2018</v>
      </c>
      <c r="I96" s="33">
        <v>2019</v>
      </c>
      <c r="J96" s="33">
        <v>2020</v>
      </c>
      <c r="K96" s="33">
        <v>2021</v>
      </c>
      <c r="L96" s="33">
        <v>2022</v>
      </c>
      <c r="M96" s="171">
        <v>2023</v>
      </c>
      <c r="N96" s="33">
        <v>2024</v>
      </c>
      <c r="O96" s="33">
        <v>2025</v>
      </c>
    </row>
    <row r="97" spans="1:15" x14ac:dyDescent="0.15">
      <c r="A97" s="8" t="s">
        <v>51</v>
      </c>
      <c r="B97" s="58">
        <v>9295</v>
      </c>
      <c r="C97" s="58">
        <v>8816</v>
      </c>
      <c r="D97" s="58">
        <v>8913</v>
      </c>
      <c r="E97" s="60">
        <v>9010</v>
      </c>
      <c r="F97" s="60">
        <v>9147</v>
      </c>
      <c r="G97" s="58">
        <v>9309</v>
      </c>
      <c r="H97" s="58">
        <v>9468</v>
      </c>
      <c r="I97" s="58">
        <v>9694</v>
      </c>
      <c r="J97" s="58">
        <v>9921</v>
      </c>
      <c r="K97" s="58">
        <v>10108</v>
      </c>
      <c r="L97" s="58">
        <v>10350</v>
      </c>
      <c r="M97" s="178">
        <v>10740</v>
      </c>
      <c r="N97" s="60">
        <v>11491</v>
      </c>
      <c r="O97" s="60">
        <v>12169</v>
      </c>
    </row>
    <row r="98" spans="1:15" x14ac:dyDescent="0.15">
      <c r="A98" s="8" t="s">
        <v>52</v>
      </c>
      <c r="B98" s="58">
        <v>21059</v>
      </c>
      <c r="C98" s="58">
        <v>18502</v>
      </c>
      <c r="D98" s="58">
        <v>19248</v>
      </c>
      <c r="E98" s="58">
        <v>19463</v>
      </c>
      <c r="F98" s="58">
        <v>19758</v>
      </c>
      <c r="G98" s="58">
        <v>20108</v>
      </c>
      <c r="H98" s="58">
        <v>20450</v>
      </c>
      <c r="I98" s="58">
        <v>20940</v>
      </c>
      <c r="J98" s="58">
        <v>21430</v>
      </c>
      <c r="K98" s="58">
        <v>21835</v>
      </c>
      <c r="L98" s="58">
        <v>22356</v>
      </c>
      <c r="M98" s="178">
        <v>23201</v>
      </c>
      <c r="N98" s="58">
        <f>N74</f>
        <v>24821</v>
      </c>
      <c r="O98" s="58">
        <f t="shared" ref="O98" si="1">O74</f>
        <v>26288</v>
      </c>
    </row>
    <row r="99" spans="1:15" x14ac:dyDescent="0.15">
      <c r="A99" s="8" t="s">
        <v>53</v>
      </c>
      <c r="B99" s="54">
        <v>45181</v>
      </c>
      <c r="C99" s="54">
        <v>40248</v>
      </c>
      <c r="D99" s="54">
        <v>40721</v>
      </c>
      <c r="E99" s="55">
        <v>49770</v>
      </c>
      <c r="F99" s="55">
        <v>34015</v>
      </c>
      <c r="G99" s="58">
        <v>32444</v>
      </c>
      <c r="H99" s="54">
        <v>33112</v>
      </c>
      <c r="I99" s="54">
        <v>34060</v>
      </c>
      <c r="J99" s="54">
        <v>34954</v>
      </c>
      <c r="K99" s="54">
        <v>35652</v>
      </c>
      <c r="L99" s="54">
        <v>36649</v>
      </c>
      <c r="M99" s="176">
        <v>37691</v>
      </c>
      <c r="N99" s="60">
        <v>39958</v>
      </c>
      <c r="O99" s="60">
        <v>43071</v>
      </c>
    </row>
    <row r="100" spans="1:15" x14ac:dyDescent="0.15">
      <c r="A100" s="8" t="s">
        <v>54</v>
      </c>
      <c r="B100" s="58">
        <v>514.17999999999995</v>
      </c>
      <c r="C100" s="58">
        <v>69573</v>
      </c>
      <c r="D100" s="58">
        <v>83971</v>
      </c>
      <c r="E100" s="58">
        <v>100670</v>
      </c>
      <c r="F100" s="58">
        <v>111590</v>
      </c>
      <c r="G100" s="58">
        <v>121972</v>
      </c>
      <c r="H100" s="58">
        <v>123362</v>
      </c>
      <c r="I100" s="58">
        <v>90710</v>
      </c>
      <c r="J100" s="58">
        <f>(J107/J105)+J99</f>
        <v>98604</v>
      </c>
      <c r="K100" s="58">
        <f>(K107/K105)+K99</f>
        <v>105735.33333333334</v>
      </c>
      <c r="L100" s="58">
        <f>(L107/L105)+L99</f>
        <v>109345.24573378838</v>
      </c>
      <c r="M100" s="178">
        <f>(M107/M105)+M99</f>
        <v>115294.68663594472</v>
      </c>
      <c r="N100" s="58">
        <v>124935</v>
      </c>
      <c r="O100" s="58">
        <v>129078</v>
      </c>
    </row>
    <row r="101" spans="1:15" x14ac:dyDescent="0.15">
      <c r="A101" s="8"/>
      <c r="B101" s="2"/>
      <c r="C101" s="2"/>
      <c r="D101" s="20"/>
      <c r="E101" s="2"/>
      <c r="F101" s="22"/>
      <c r="G101" s="14"/>
      <c r="H101" s="14"/>
      <c r="I101" s="2"/>
      <c r="J101" s="2"/>
      <c r="K101" s="2"/>
      <c r="L101" s="2"/>
      <c r="M101" s="26"/>
      <c r="N101" s="2"/>
      <c r="O101" s="22"/>
    </row>
    <row r="102" spans="1:15" x14ac:dyDescent="0.15">
      <c r="A102" s="8" t="s">
        <v>81</v>
      </c>
      <c r="B102" s="2">
        <f>IF(B$79=TRUE,0.796%,1.733%)</f>
        <v>1.7330000000000002E-2</v>
      </c>
      <c r="C102" s="2">
        <f>IF(C$79=TRUE,0.943%,1.827%)</f>
        <v>1.8269999999999998E-2</v>
      </c>
      <c r="D102" s="2">
        <f>IF(D$79=TRUE,0.915%,1.807%)</f>
        <v>1.8069999999999999E-2</v>
      </c>
      <c r="E102" s="2">
        <f>IF(E$79=TRUE,0.922%,1.81%)</f>
        <v>1.8100000000000002E-2</v>
      </c>
      <c r="F102" s="2">
        <f>IF(F$79=TRUE,0.915%,1.793%)</f>
        <v>1.7929999999999998E-2</v>
      </c>
      <c r="G102" s="2">
        <f>IF(G$79=TRUE,0.904%,1.772%)</f>
        <v>1.772E-2</v>
      </c>
      <c r="H102" s="2">
        <f>IF(H$79=TRUE,0.901%,1.764%)</f>
        <v>1.7639999999999999E-2</v>
      </c>
      <c r="I102" s="2">
        <f>IF(I79=TRUE,0.898%,1.754%)</f>
        <v>1.754E-2</v>
      </c>
      <c r="J102" s="2">
        <f>IF(J79=TRUE,1.464%,2.812%)</f>
        <v>2.8119999999999999E-2</v>
      </c>
      <c r="K102" s="2">
        <f>IF(K79=TRUE,2.371%,4.581%)</f>
        <v>4.5810000000000003E-2</v>
      </c>
      <c r="L102" s="2">
        <f>IF(L79=TRUE,2.348%,4.541%)</f>
        <v>4.5410000000000006E-2</v>
      </c>
      <c r="M102" s="26">
        <f>IF(M79=TRUE,4.241%,8.231%)</f>
        <v>8.2309999999999994E-2</v>
      </c>
      <c r="N102" s="2">
        <f>IF(N79=TRUE,4.346%,8.425%)</f>
        <v>8.4250000000000005E-2</v>
      </c>
      <c r="O102" s="211">
        <v>8.0530000000000004E-2</v>
      </c>
    </row>
    <row r="103" spans="1:15" x14ac:dyDescent="0.15">
      <c r="A103" s="8" t="s">
        <v>82</v>
      </c>
      <c r="B103" s="2">
        <f>IF(B$79=TRUE,5.657%,12.32%)</f>
        <v>0.1232</v>
      </c>
      <c r="C103" s="2">
        <f>IF(C$79=TRUE,8.319%,16.115%)</f>
        <v>0.16114999999999999</v>
      </c>
      <c r="D103" s="2">
        <f>IF(D$79=TRUE,9.479%,18.724%)</f>
        <v>0.18723999999999999</v>
      </c>
      <c r="E103" s="2">
        <f>IF(E$79=TRUE,10.028%,19.679%)</f>
        <v>0.19678999999999999</v>
      </c>
      <c r="F103" s="2">
        <f>IF(F$79=TRUE,14.133%,27.698%)</f>
        <v>0.27698</v>
      </c>
      <c r="G103" s="2">
        <f>IF(G$79=TRUE,14.449%,28.317%)</f>
        <v>0.28316999999999998</v>
      </c>
      <c r="H103" s="2">
        <f>IF(H$79=TRUE,14.32%,28.064%)</f>
        <v>0.28064</v>
      </c>
      <c r="I103" s="2">
        <f>IF(I79=TRUE,14.689%,28.712%)</f>
        <v>0.28711999999999999</v>
      </c>
      <c r="J103" s="2">
        <f>IF(J79=TRUE,15.004%,28.812%)</f>
        <v>0.28811999999999999</v>
      </c>
      <c r="K103" s="2">
        <f>IF(K79=TRUE,14.89%,28.771%)</f>
        <v>0.28771000000000002</v>
      </c>
      <c r="L103" s="2">
        <f>IF(L79=TRUE,14.718%,28.461%)</f>
        <v>0.28460999999999997</v>
      </c>
      <c r="M103" s="26">
        <f>IF(M79=TRUE,15.388%,29.861%)</f>
        <v>0.29860999999999999</v>
      </c>
      <c r="N103" s="2">
        <f>IF(N79=TRUE,16.214%,31.433%)</f>
        <v>0.31433</v>
      </c>
      <c r="O103" s="211">
        <v>0.30030000000000001</v>
      </c>
    </row>
    <row r="104" spans="1:15" x14ac:dyDescent="0.15">
      <c r="A104" s="8" t="s">
        <v>83</v>
      </c>
      <c r="B104" s="2">
        <v>0</v>
      </c>
      <c r="C104" s="2">
        <v>0</v>
      </c>
      <c r="D104" s="2">
        <v>0</v>
      </c>
      <c r="E104" s="2">
        <v>0</v>
      </c>
      <c r="F104" s="2">
        <v>0</v>
      </c>
      <c r="G104" s="2">
        <v>0</v>
      </c>
      <c r="H104" s="2">
        <v>0</v>
      </c>
      <c r="I104" s="2">
        <v>0</v>
      </c>
      <c r="J104" s="2">
        <f>IF(J79=TRUE,0.862%,1.656%)</f>
        <v>1.6559999999999998E-2</v>
      </c>
      <c r="K104" s="2">
        <f>IF(K79=TRUE,1.378%,2.663%)</f>
        <v>2.6629999999999997E-2</v>
      </c>
      <c r="L104" s="2">
        <f>IF(L79=TRUE,1.349%,2.61%)</f>
        <v>2.6099999999999998E-2</v>
      </c>
      <c r="M104" s="26">
        <f>IF(M79=TRUE,1.589%,3.085%)</f>
        <v>3.0849999999999999E-2</v>
      </c>
      <c r="N104" s="2">
        <f>IF(N79=TRUE,1.275%,2.471%)</f>
        <v>2.4709999999999999E-2</v>
      </c>
      <c r="O104" s="2">
        <v>2.2579999999999999E-2</v>
      </c>
    </row>
    <row r="105" spans="1:15" x14ac:dyDescent="0.15">
      <c r="A105" s="8" t="s">
        <v>84</v>
      </c>
      <c r="B105" s="2">
        <f>IF(B$79=TRUE,0.574%,1.25%)</f>
        <v>1.2500000000000001E-2</v>
      </c>
      <c r="C105" s="2">
        <f>IF(C$79=TRUE,2.064%,4%)</f>
        <v>0.04</v>
      </c>
      <c r="D105" s="2">
        <f>IF(D$79=TRUE,2.025%,4%)</f>
        <v>0.04</v>
      </c>
      <c r="E105" s="2">
        <f>IF(E$79=TRUE,2.038%,4%)</f>
        <v>0.04</v>
      </c>
      <c r="F105" s="2">
        <f>IF(F$79=TRUE,2.041%,4%)</f>
        <v>0.04</v>
      </c>
      <c r="G105" s="2">
        <f>IF(G$79=TRUE,1.837%,3.6%)</f>
        <v>3.6000000000000004E-2</v>
      </c>
      <c r="H105" s="2">
        <f>IF(H$79=TRUE,1.837%,3.6%)</f>
        <v>3.6000000000000004E-2</v>
      </c>
      <c r="I105" s="2">
        <f>IF(I79=TRUE,3.069%,6%)</f>
        <v>0.06</v>
      </c>
      <c r="J105" s="2">
        <f>IF(J79=TRUE,3.124%,6%)</f>
        <v>0.06</v>
      </c>
      <c r="K105" s="2">
        <f>IF(K79=TRUE,3.105%,6%)</f>
        <v>0.06</v>
      </c>
      <c r="L105" s="2">
        <f>IF(L79=TRUE,3.03%,5.86%)</f>
        <v>5.8600000000000006E-2</v>
      </c>
      <c r="M105" s="26">
        <f>IF(M79=TRUE,3.355%,6.51%)</f>
        <v>6.5099999999999991E-2</v>
      </c>
      <c r="N105" s="2">
        <f>IF(N79=TRUE,3.358%,6.51%)</f>
        <v>6.5099999999999991E-2</v>
      </c>
      <c r="O105" s="2">
        <v>6.5100000000000005E-2</v>
      </c>
    </row>
    <row r="106" spans="1:15" x14ac:dyDescent="0.15">
      <c r="A106" s="9"/>
      <c r="B106" s="10"/>
      <c r="C106" s="10"/>
      <c r="D106" s="10"/>
      <c r="E106" s="10"/>
      <c r="F106" s="10"/>
      <c r="G106" s="11"/>
      <c r="H106" s="11"/>
      <c r="I106" s="2"/>
      <c r="J106" s="10"/>
      <c r="K106" s="10"/>
      <c r="L106" s="10"/>
      <c r="M106" s="180"/>
      <c r="N106" s="10"/>
      <c r="O106" s="10"/>
    </row>
    <row r="107" spans="1:15" x14ac:dyDescent="0.15">
      <c r="A107" s="8" t="s">
        <v>91</v>
      </c>
      <c r="B107" s="2">
        <f>IF(B$79=TRUE,740,1611)</f>
        <v>1611</v>
      </c>
      <c r="C107" s="2">
        <f>IF(C$79=TRUE,890,1723)</f>
        <v>1723</v>
      </c>
      <c r="D107" s="2">
        <f>IF(D$79=TRUE,1062,2097)</f>
        <v>2097</v>
      </c>
      <c r="E107" s="2">
        <f>IF(E$79=TRUE,1132,2220)</f>
        <v>2220</v>
      </c>
      <c r="F107" s="2">
        <f>IF(F$79=TRUE,1585,3103)</f>
        <v>3103</v>
      </c>
      <c r="G107" s="2">
        <f>IF(G$79=TRUE,1645,3223)</f>
        <v>3223</v>
      </c>
      <c r="H107" s="2">
        <f>IF(H$79=TRUE,1659,3249)</f>
        <v>3249</v>
      </c>
      <c r="I107" s="2">
        <f>IF(I79=TRUE,1745,3399)</f>
        <v>3399</v>
      </c>
      <c r="J107" s="2">
        <f>IF(J79=TRUE,1989,3819)</f>
        <v>3819</v>
      </c>
      <c r="K107" s="2">
        <f>IF(K79=TRUE,2178,4205)</f>
        <v>4205</v>
      </c>
      <c r="L107" s="2">
        <f>IF(L79=TRUE,2204,4260)</f>
        <v>4260</v>
      </c>
      <c r="M107" s="26">
        <f>IF(M79=TRUE,2604,5052)</f>
        <v>5052</v>
      </c>
      <c r="N107" s="2">
        <f>IF(N79=TRUE,2854,5532)</f>
        <v>5532</v>
      </c>
      <c r="O107" s="22">
        <v>5599</v>
      </c>
    </row>
    <row r="108" spans="1:15" x14ac:dyDescent="0.15">
      <c r="A108" s="8" t="s">
        <v>92</v>
      </c>
      <c r="B108" s="2">
        <f>IF(B$79=TRUE,704,740)</f>
        <v>740</v>
      </c>
      <c r="C108" s="2">
        <f>IF(C$79=TRUE,284,550)</f>
        <v>550</v>
      </c>
      <c r="D108" s="2">
        <f>IF(D$79=TRUE,186,367)</f>
        <v>367</v>
      </c>
      <c r="E108" s="2">
        <f>IF(E$79=TRUE,94,184)</f>
        <v>184</v>
      </c>
      <c r="F108" s="2">
        <v>0</v>
      </c>
      <c r="G108" s="2">
        <v>0</v>
      </c>
      <c r="H108" s="2">
        <v>0</v>
      </c>
      <c r="I108" s="2">
        <v>0</v>
      </c>
      <c r="J108" s="2">
        <v>0</v>
      </c>
      <c r="K108" s="2">
        <v>0</v>
      </c>
      <c r="L108" s="2">
        <v>0</v>
      </c>
      <c r="M108" s="26">
        <v>0</v>
      </c>
      <c r="N108" s="2">
        <v>0</v>
      </c>
      <c r="O108" s="22">
        <v>0</v>
      </c>
    </row>
    <row r="109" spans="1:15" x14ac:dyDescent="0.15">
      <c r="A109" s="8"/>
      <c r="B109" s="2"/>
      <c r="C109" s="2"/>
      <c r="D109" s="20"/>
      <c r="E109" s="2"/>
      <c r="F109" s="22"/>
      <c r="G109" s="14"/>
      <c r="H109" s="14"/>
      <c r="I109" s="2"/>
      <c r="J109" s="2"/>
      <c r="K109" s="2"/>
      <c r="L109" s="2"/>
      <c r="M109" s="173"/>
      <c r="N109" s="2"/>
      <c r="O109" s="22"/>
    </row>
    <row r="110" spans="1:15" x14ac:dyDescent="0.15">
      <c r="A110" s="9" t="s">
        <v>62</v>
      </c>
      <c r="B110" s="34">
        <v>0</v>
      </c>
      <c r="C110" s="34">
        <v>0</v>
      </c>
      <c r="D110" s="34">
        <v>5.0000000000000001E-3</v>
      </c>
      <c r="E110" s="34">
        <v>0.01</v>
      </c>
      <c r="F110" s="34">
        <v>1.4999999999999999E-2</v>
      </c>
      <c r="G110" s="34">
        <v>0.02</v>
      </c>
      <c r="H110" s="13">
        <v>2.4500000000000001E-2</v>
      </c>
      <c r="I110" s="13">
        <v>2.75E-2</v>
      </c>
      <c r="J110" s="13">
        <v>3.5000000000000003E-2</v>
      </c>
      <c r="K110" s="13">
        <v>6.5000000000000002E-2</v>
      </c>
      <c r="L110" s="153">
        <v>9.5000000000000001E-2</v>
      </c>
      <c r="M110" s="181">
        <f>M83-M82</f>
        <v>0.12569999999999998</v>
      </c>
      <c r="N110" s="34">
        <f>N83-N82</f>
        <v>0.12530000000000002</v>
      </c>
      <c r="O110" s="13">
        <v>0.1202</v>
      </c>
    </row>
    <row r="111" spans="1:15" x14ac:dyDescent="0.15">
      <c r="A111" s="9"/>
      <c r="B111" s="34"/>
      <c r="C111" s="34"/>
      <c r="D111" s="34"/>
      <c r="E111" s="34"/>
      <c r="F111" s="34"/>
      <c r="G111" s="34"/>
      <c r="H111" s="13"/>
      <c r="I111" s="34">
        <v>0</v>
      </c>
      <c r="J111" s="13">
        <v>3.5000000000000003E-2</v>
      </c>
      <c r="K111" s="13">
        <v>6.5000000000000002E-2</v>
      </c>
      <c r="L111" s="153">
        <v>9.5000000000000001E-2</v>
      </c>
      <c r="M111" s="181">
        <f>M110</f>
        <v>0.12569999999999998</v>
      </c>
      <c r="N111" s="34">
        <f>N110</f>
        <v>0.12530000000000002</v>
      </c>
      <c r="O111" s="13">
        <v>0.1202</v>
      </c>
    </row>
    <row r="112" spans="1:15" x14ac:dyDescent="0.15">
      <c r="A112" s="8"/>
      <c r="B112" s="2"/>
      <c r="C112" s="2"/>
      <c r="D112" s="2"/>
      <c r="E112" s="2"/>
      <c r="F112" s="2"/>
      <c r="G112" s="32"/>
      <c r="H112" s="32"/>
      <c r="I112" s="2"/>
      <c r="J112" s="13"/>
      <c r="K112" s="13"/>
      <c r="L112" s="153"/>
      <c r="M112" s="26"/>
      <c r="N112" s="2"/>
      <c r="O112" s="2"/>
    </row>
    <row r="113" spans="1:15" x14ac:dyDescent="0.15">
      <c r="A113" s="9" t="s">
        <v>66</v>
      </c>
      <c r="B113" s="33">
        <v>2012</v>
      </c>
      <c r="C113" s="33">
        <v>2013</v>
      </c>
      <c r="D113" s="33">
        <v>2014</v>
      </c>
      <c r="E113" s="33">
        <v>2015</v>
      </c>
      <c r="F113" s="33">
        <v>2016</v>
      </c>
      <c r="G113" s="33">
        <v>2017</v>
      </c>
      <c r="H113" s="33">
        <v>2018</v>
      </c>
      <c r="I113" s="33">
        <v>2019</v>
      </c>
      <c r="J113" s="33">
        <v>2020</v>
      </c>
      <c r="K113" s="33">
        <v>2021</v>
      </c>
      <c r="L113" s="33">
        <v>2022</v>
      </c>
      <c r="M113" s="171">
        <v>2023</v>
      </c>
      <c r="N113" s="33">
        <v>2024</v>
      </c>
      <c r="O113" s="33">
        <v>2025</v>
      </c>
    </row>
    <row r="114" spans="1:15" x14ac:dyDescent="0.15">
      <c r="A114" s="8" t="s">
        <v>51</v>
      </c>
      <c r="B114" s="2">
        <v>4814</v>
      </c>
      <c r="C114" s="2">
        <v>4814</v>
      </c>
      <c r="D114" s="2">
        <v>4814</v>
      </c>
      <c r="E114" s="2">
        <v>4857</v>
      </c>
      <c r="F114" s="2">
        <v>4881</v>
      </c>
      <c r="G114" s="2">
        <v>4895</v>
      </c>
      <c r="H114" s="2">
        <v>4934</v>
      </c>
      <c r="I114" s="2">
        <v>4993</v>
      </c>
      <c r="J114" s="2">
        <v>5072</v>
      </c>
      <c r="K114" s="2">
        <v>5153</v>
      </c>
      <c r="L114" s="2">
        <v>5219</v>
      </c>
      <c r="M114" s="26">
        <v>5547</v>
      </c>
      <c r="N114" s="2">
        <v>6074</v>
      </c>
      <c r="O114" s="2">
        <v>6145</v>
      </c>
    </row>
    <row r="115" spans="1:15" x14ac:dyDescent="0.15">
      <c r="A115" s="8" t="s">
        <v>52</v>
      </c>
      <c r="B115" s="2">
        <v>32539</v>
      </c>
      <c r="C115" s="2">
        <v>32539</v>
      </c>
      <c r="D115" s="2">
        <v>32539</v>
      </c>
      <c r="E115" s="2">
        <v>32832</v>
      </c>
      <c r="F115" s="2">
        <v>32969</v>
      </c>
      <c r="G115" s="2">
        <v>33065</v>
      </c>
      <c r="H115" s="2">
        <v>33331</v>
      </c>
      <c r="I115" s="2">
        <v>29753</v>
      </c>
      <c r="J115" s="2">
        <v>30234</v>
      </c>
      <c r="K115" s="2">
        <v>29738</v>
      </c>
      <c r="L115" s="2">
        <v>27350</v>
      </c>
      <c r="M115" s="26">
        <v>29075</v>
      </c>
      <c r="N115" s="2">
        <v>31838</v>
      </c>
      <c r="O115" s="2">
        <v>32223</v>
      </c>
    </row>
    <row r="116" spans="1:15" x14ac:dyDescent="0.15">
      <c r="A116" s="8" t="s">
        <v>93</v>
      </c>
      <c r="B116" s="35">
        <f>IF(B79=TRUE,1.837%,4%)</f>
        <v>0.04</v>
      </c>
      <c r="C116" s="35">
        <f>IF(C79=TRUE,2.064%,4%)</f>
        <v>0.04</v>
      </c>
      <c r="D116" s="35">
        <f>IF(D79=TRUE,2.038%,4%)</f>
        <v>0.04</v>
      </c>
      <c r="E116" s="35">
        <f>IF(E79=TRUE,2.037%,4%)</f>
        <v>0.04</v>
      </c>
      <c r="F116" s="35">
        <f>IF(F79=TRUE,3.143%,6.159%)</f>
        <v>6.1589999999999999E-2</v>
      </c>
      <c r="G116" s="35">
        <f>IF(G79=TRUE,3.143%,6.159%)</f>
        <v>6.1589999999999999E-2</v>
      </c>
      <c r="H116" s="35">
        <f>IF(H79=TRUE,3.143%,6.159%)</f>
        <v>6.1589999999999999E-2</v>
      </c>
      <c r="I116" s="35">
        <f>IF(I79=TRUE,5.86%,11.45%)</f>
        <v>0.11449999999999999</v>
      </c>
      <c r="J116" s="35">
        <f>IF(J79=TRUE,5.963%,11.45%)</f>
        <v>0.11449999999999999</v>
      </c>
      <c r="K116" s="35">
        <f>IF(K79=TRUE,5.963%,11.45%)</f>
        <v>0.11449999999999999</v>
      </c>
      <c r="L116" s="170">
        <f>IF(L79=TRUE,5.921%,11.45%)</f>
        <v>0.11449999999999999</v>
      </c>
      <c r="M116" s="182">
        <f>IF(M79=TRUE,5.921%,11.45%)</f>
        <v>0.11449999999999999</v>
      </c>
      <c r="N116" s="37">
        <v>0.1145</v>
      </c>
      <c r="O116" s="37">
        <v>0.1145</v>
      </c>
    </row>
    <row r="117" spans="1:15" x14ac:dyDescent="0.15">
      <c r="A117" s="8" t="s">
        <v>58</v>
      </c>
      <c r="B117" s="2">
        <f>IF($B$37=TRUE,IF(B79=TRUE,471,1024),0)</f>
        <v>0</v>
      </c>
      <c r="C117" s="2">
        <f>IF($B$37=TRUE,IF(C79=TRUE,529,1024),0)</f>
        <v>0</v>
      </c>
      <c r="D117" s="2">
        <f>IF($B$37=TRUE,IF(D79=TRUE,528,1024),0)</f>
        <v>0</v>
      </c>
      <c r="E117" s="2">
        <f>IF($B$37=TRUE,IF(E79=TRUE,528,1033),0)</f>
        <v>0</v>
      </c>
      <c r="F117" s="2">
        <f>IF($B$37=TRUE,IF(F79=TRUE,531,1039),0)</f>
        <v>0</v>
      </c>
      <c r="G117" s="2">
        <f>IF($B$37=TRUE,IF(G79=TRUE,533,1043),0)</f>
        <v>0</v>
      </c>
      <c r="H117" s="2">
        <f>IF($B$37=TRUE,IF(H79=TRUE,537,1052),0)</f>
        <v>0</v>
      </c>
      <c r="I117" s="2">
        <f>IF($B$37=TRUE,IF(I79=TRUE,0,0),0)</f>
        <v>0</v>
      </c>
      <c r="J117" s="2">
        <f>IF($B$37=TRUE,IF(J79=TRUE,0,0),0)</f>
        <v>0</v>
      </c>
      <c r="K117" s="2">
        <f>IF($B$37=TRUE,IF(K79=TRUE,0,0),0)</f>
        <v>0</v>
      </c>
      <c r="L117" s="2">
        <v>0</v>
      </c>
      <c r="M117" s="26">
        <v>0</v>
      </c>
      <c r="N117" s="2">
        <v>0</v>
      </c>
      <c r="O117" s="22">
        <v>0</v>
      </c>
    </row>
    <row r="118" spans="1:15" x14ac:dyDescent="0.15">
      <c r="A118" s="8" t="s">
        <v>57</v>
      </c>
      <c r="B118" s="2">
        <f>IF(B$79=TRUE,980,2133)</f>
        <v>2133</v>
      </c>
      <c r="C118" s="2">
        <f>IF(C$79=TRUE,1102,2133)</f>
        <v>2133</v>
      </c>
      <c r="D118" s="2">
        <f>IF(D$79=TRUE,1081,2133)</f>
        <v>2133</v>
      </c>
      <c r="E118" s="2">
        <f>IF(E$79=TRUE,1098,2152)</f>
        <v>2152</v>
      </c>
      <c r="F118" s="2">
        <f>IF(F$79=TRUE,1413,2769)</f>
        <v>2769</v>
      </c>
      <c r="G118" s="2">
        <f>IF(G$79=TRUE,1418,2778)</f>
        <v>2778</v>
      </c>
      <c r="H118" s="2">
        <f>IF(H$79=TRUE,1431,2801)</f>
        <v>2801</v>
      </c>
      <c r="I118" s="2">
        <f>IF(I79=TRUE,1452,2835)</f>
        <v>2835</v>
      </c>
      <c r="J118" s="2">
        <f>IF(J79=TRUE,1452,2881)</f>
        <v>2881</v>
      </c>
      <c r="K118" s="2">
        <f>IF(K79=TRUE,1452,2815)</f>
        <v>2815</v>
      </c>
      <c r="L118" s="2">
        <f>IF(L79=TRUE,1311,2534)</f>
        <v>2534</v>
      </c>
      <c r="M118" s="26">
        <f>IF(M79=TRUE,1394,2694)</f>
        <v>2694</v>
      </c>
      <c r="N118" s="2">
        <v>2950</v>
      </c>
      <c r="O118" s="22">
        <v>2986</v>
      </c>
    </row>
    <row r="119" spans="1:15" x14ac:dyDescent="0.15">
      <c r="A119" s="8"/>
      <c r="B119" s="2"/>
      <c r="C119" s="2"/>
      <c r="D119" s="20"/>
      <c r="E119" s="2"/>
      <c r="F119" s="22"/>
      <c r="G119" s="14"/>
      <c r="H119" s="14"/>
      <c r="I119" s="2"/>
      <c r="J119" s="2"/>
      <c r="K119" s="2"/>
      <c r="L119" s="2"/>
      <c r="M119" s="173"/>
      <c r="N119" s="2"/>
      <c r="O119" s="22"/>
    </row>
    <row r="120" spans="1:15" x14ac:dyDescent="0.15">
      <c r="A120" s="33" t="s">
        <v>94</v>
      </c>
      <c r="B120" s="33">
        <v>2012</v>
      </c>
      <c r="C120" s="33">
        <v>2013</v>
      </c>
      <c r="D120" s="33">
        <v>2014</v>
      </c>
      <c r="E120" s="33">
        <v>2015</v>
      </c>
      <c r="F120" s="33">
        <v>2016</v>
      </c>
      <c r="G120" s="33">
        <v>2017</v>
      </c>
      <c r="H120" s="33">
        <v>2018</v>
      </c>
      <c r="I120" s="33">
        <v>2019</v>
      </c>
      <c r="J120" s="33">
        <v>2020</v>
      </c>
      <c r="K120" s="33">
        <v>2021</v>
      </c>
      <c r="L120" s="33">
        <v>2022</v>
      </c>
      <c r="M120" s="171">
        <v>2023</v>
      </c>
      <c r="N120" s="33">
        <v>2024</v>
      </c>
      <c r="O120" s="33">
        <v>2025</v>
      </c>
    </row>
    <row r="121" spans="1:15" x14ac:dyDescent="0.15">
      <c r="A121" s="8" t="s">
        <v>95</v>
      </c>
      <c r="B121" s="13">
        <v>7.0999999999999994E-2</v>
      </c>
      <c r="C121" s="13">
        <v>7.7499999999999999E-2</v>
      </c>
      <c r="D121" s="13">
        <v>7.4999999999999997E-2</v>
      </c>
      <c r="E121" s="13">
        <v>6.9500000000000006E-2</v>
      </c>
      <c r="F121" s="13">
        <v>6.7500000000000004E-2</v>
      </c>
      <c r="G121" s="13">
        <v>6.6500000000000004E-2</v>
      </c>
      <c r="H121" s="13">
        <v>6.9000000000000006E-2</v>
      </c>
      <c r="I121" s="20">
        <v>6.9500000000000006E-2</v>
      </c>
      <c r="J121" s="20">
        <v>6.7000000000000004E-2</v>
      </c>
      <c r="K121" s="20">
        <v>7.0000000000000007E-2</v>
      </c>
      <c r="L121" s="20">
        <v>6.7500000000000004E-2</v>
      </c>
      <c r="M121" s="173">
        <v>6.6799999999999998E-2</v>
      </c>
      <c r="N121" s="185">
        <v>6.5699999999999995E-2</v>
      </c>
      <c r="O121" s="20">
        <v>6.5100000000000005E-2</v>
      </c>
    </row>
    <row r="122" spans="1:15" x14ac:dyDescent="0.15">
      <c r="A122" s="8" t="s">
        <v>96</v>
      </c>
      <c r="B122" s="38">
        <v>0.05</v>
      </c>
      <c r="C122" s="38">
        <v>5.6500000000000002E-2</v>
      </c>
      <c r="D122" s="38">
        <v>5.3999999999999999E-2</v>
      </c>
      <c r="E122" s="38">
        <v>4.8500000000000001E-2</v>
      </c>
      <c r="F122" s="13">
        <v>5.5E-2</v>
      </c>
      <c r="G122" s="13">
        <v>5.3999999999999999E-2</v>
      </c>
      <c r="H122" s="13">
        <v>5.6500000000000002E-2</v>
      </c>
      <c r="I122" s="20">
        <v>5.7000000000000002E-2</v>
      </c>
      <c r="J122" s="20">
        <v>5.45E-2</v>
      </c>
      <c r="K122" s="20">
        <v>5.7500000000000002E-2</v>
      </c>
      <c r="L122" s="20">
        <v>5.5E-2</v>
      </c>
      <c r="M122" s="173">
        <v>5.4300000000000001E-2</v>
      </c>
      <c r="N122" s="185">
        <v>5.3199999999999997E-2</v>
      </c>
      <c r="O122" s="20">
        <v>5.2600000000000001E-2</v>
      </c>
    </row>
    <row r="123" spans="1:15" x14ac:dyDescent="0.15">
      <c r="A123" s="8" t="s">
        <v>97</v>
      </c>
      <c r="B123" s="61">
        <v>50064</v>
      </c>
      <c r="C123" s="61">
        <v>50853</v>
      </c>
      <c r="D123" s="61">
        <v>51414</v>
      </c>
      <c r="E123" s="61">
        <v>51976</v>
      </c>
      <c r="F123" s="61">
        <v>52763</v>
      </c>
      <c r="G123" s="62">
        <v>53701</v>
      </c>
      <c r="H123" s="63">
        <v>54614</v>
      </c>
      <c r="I123" s="63">
        <v>55923</v>
      </c>
      <c r="J123" s="50">
        <v>57232</v>
      </c>
      <c r="K123" s="50">
        <v>58311</v>
      </c>
      <c r="L123" s="50">
        <v>59706</v>
      </c>
      <c r="M123" s="172">
        <v>66952</v>
      </c>
      <c r="N123" s="172">
        <v>71628</v>
      </c>
      <c r="O123" s="50">
        <v>75864</v>
      </c>
    </row>
    <row r="124" spans="1:15" x14ac:dyDescent="0.15">
      <c r="A124" s="8"/>
      <c r="B124" s="2"/>
      <c r="C124" s="2"/>
      <c r="D124" s="20"/>
      <c r="E124" s="2"/>
      <c r="F124" s="22"/>
      <c r="G124" s="14"/>
      <c r="H124" s="14"/>
      <c r="I124" s="2"/>
      <c r="J124" s="2"/>
      <c r="K124" s="2"/>
      <c r="L124" s="2"/>
      <c r="M124" s="173"/>
      <c r="N124" s="2"/>
      <c r="O124" s="22"/>
    </row>
    <row r="125" spans="1:15" x14ac:dyDescent="0.15">
      <c r="A125" s="9" t="s">
        <v>71</v>
      </c>
      <c r="B125" s="33">
        <v>2012</v>
      </c>
      <c r="C125" s="33">
        <v>2013</v>
      </c>
      <c r="D125" s="33">
        <v>2014</v>
      </c>
      <c r="E125" s="33">
        <v>2015</v>
      </c>
      <c r="F125" s="33">
        <v>2016</v>
      </c>
      <c r="G125" s="33">
        <v>2017</v>
      </c>
      <c r="H125" s="33">
        <v>2018</v>
      </c>
      <c r="I125" s="33">
        <v>2019</v>
      </c>
      <c r="J125" s="33">
        <v>2020</v>
      </c>
      <c r="K125" s="33">
        <v>2021</v>
      </c>
      <c r="L125" s="33">
        <v>2022</v>
      </c>
      <c r="M125" s="171">
        <v>2023</v>
      </c>
      <c r="N125" s="33">
        <v>2024</v>
      </c>
      <c r="O125" s="33">
        <v>2025</v>
      </c>
    </row>
    <row r="126" spans="1:15" x14ac:dyDescent="0.15">
      <c r="A126" s="8" t="s">
        <v>7</v>
      </c>
      <c r="B126" s="39">
        <v>0.12</v>
      </c>
      <c r="C126" s="39">
        <v>0.12</v>
      </c>
      <c r="D126" s="20">
        <v>0.109</v>
      </c>
      <c r="E126" s="13">
        <v>9.8000000000000004E-2</v>
      </c>
      <c r="F126" s="13">
        <v>9.8000000000000004E-2</v>
      </c>
      <c r="G126" s="13">
        <v>9.8000000000000004E-2</v>
      </c>
      <c r="H126" s="13">
        <v>9.4399999999999998E-2</v>
      </c>
      <c r="I126" s="13">
        <v>9.4399999999999998E-2</v>
      </c>
      <c r="J126" s="13">
        <f>I126</f>
        <v>9.4399999999999998E-2</v>
      </c>
      <c r="K126" s="13">
        <f t="shared" ref="K126:L126" si="2">J126</f>
        <v>9.4399999999999998E-2</v>
      </c>
      <c r="L126" s="154">
        <f t="shared" si="2"/>
        <v>9.4399999999999998E-2</v>
      </c>
      <c r="M126" s="181">
        <v>0</v>
      </c>
      <c r="N126" s="188">
        <f t="shared" ref="N126:N127" si="3">M126</f>
        <v>0</v>
      </c>
      <c r="O126" s="13">
        <f t="shared" ref="O126:O127" si="4">N126</f>
        <v>0</v>
      </c>
    </row>
    <row r="127" spans="1:15" x14ac:dyDescent="0.15">
      <c r="A127" s="8" t="s">
        <v>98</v>
      </c>
      <c r="B127" s="50">
        <v>9542</v>
      </c>
      <c r="C127" s="50">
        <v>9542</v>
      </c>
      <c r="D127" s="50">
        <v>9542</v>
      </c>
      <c r="E127" s="50">
        <v>8631</v>
      </c>
      <c r="F127" s="50">
        <v>8774</v>
      </c>
      <c r="G127" s="50">
        <v>8946</v>
      </c>
      <c r="H127" s="50">
        <v>8775</v>
      </c>
      <c r="I127" s="50">
        <v>8999</v>
      </c>
      <c r="J127" s="50">
        <v>9218</v>
      </c>
      <c r="K127" s="50">
        <v>9395</v>
      </c>
      <c r="L127" s="50">
        <v>9632</v>
      </c>
      <c r="M127" s="172">
        <v>0</v>
      </c>
      <c r="N127" s="189">
        <f t="shared" si="3"/>
        <v>0</v>
      </c>
      <c r="O127" s="50">
        <f t="shared" si="4"/>
        <v>0</v>
      </c>
    </row>
    <row r="128" spans="1:15" x14ac:dyDescent="0.15">
      <c r="A128" s="8"/>
      <c r="B128" s="2"/>
      <c r="C128" s="2"/>
      <c r="D128" s="2"/>
      <c r="E128" s="2"/>
      <c r="F128" s="2"/>
      <c r="G128" s="32"/>
      <c r="H128" s="32"/>
      <c r="I128" s="2"/>
      <c r="J128" s="2"/>
      <c r="K128" s="2"/>
      <c r="L128" s="2"/>
      <c r="M128" s="26"/>
      <c r="N128" s="2"/>
      <c r="O128" s="2"/>
    </row>
    <row r="129" spans="1:15" x14ac:dyDescent="0.15">
      <c r="A129" s="33"/>
      <c r="B129" s="33">
        <v>2012</v>
      </c>
      <c r="C129" s="33">
        <v>2013</v>
      </c>
      <c r="D129" s="33">
        <v>2014</v>
      </c>
      <c r="E129" s="33">
        <v>2015</v>
      </c>
      <c r="F129" s="33">
        <v>2016</v>
      </c>
      <c r="G129" s="33">
        <v>2017</v>
      </c>
      <c r="H129" s="33">
        <v>2018</v>
      </c>
      <c r="I129" s="33">
        <v>2019</v>
      </c>
      <c r="J129" s="33">
        <v>2020</v>
      </c>
      <c r="K129" s="33">
        <v>2021</v>
      </c>
      <c r="L129" s="33">
        <v>2022</v>
      </c>
      <c r="M129" s="171">
        <v>2023</v>
      </c>
      <c r="N129" s="33">
        <v>2024</v>
      </c>
      <c r="O129" s="33">
        <v>2025</v>
      </c>
    </row>
    <row r="130" spans="1:15" x14ac:dyDescent="0.15">
      <c r="A130" s="9" t="s">
        <v>9</v>
      </c>
      <c r="B130" s="2">
        <f t="shared" ref="B130:G130" si="5">IF($B$79,3640,7280)</f>
        <v>7280</v>
      </c>
      <c r="C130" s="2">
        <f t="shared" si="5"/>
        <v>7280</v>
      </c>
      <c r="D130" s="2">
        <f t="shared" si="5"/>
        <v>7280</v>
      </c>
      <c r="E130" s="2">
        <f t="shared" si="5"/>
        <v>7280</v>
      </c>
      <c r="F130" s="2">
        <f t="shared" si="5"/>
        <v>7280</v>
      </c>
      <c r="G130" s="2">
        <f t="shared" si="5"/>
        <v>7280</v>
      </c>
      <c r="H130" s="2">
        <f t="shared" ref="H130" si="6">IF(H$79,3640,7280)</f>
        <v>7280</v>
      </c>
      <c r="I130" s="2">
        <f>IF(I79,3640,7280)</f>
        <v>7280</v>
      </c>
      <c r="J130" s="2">
        <f>I130-250</f>
        <v>7030</v>
      </c>
      <c r="K130" s="2">
        <f>IF(K79,3335,6670)</f>
        <v>6670</v>
      </c>
      <c r="L130" s="2">
        <f>K130-360</f>
        <v>6310</v>
      </c>
      <c r="M130" s="26">
        <v>5030</v>
      </c>
      <c r="N130" s="186">
        <f>M130-1280</f>
        <v>3750</v>
      </c>
      <c r="O130" s="2">
        <v>2470</v>
      </c>
    </row>
    <row r="131" spans="1:15" x14ac:dyDescent="0.15">
      <c r="A131" s="9" t="s">
        <v>10</v>
      </c>
      <c r="B131" s="2">
        <f t="shared" ref="B131:G131" si="7">IF($B$79,1062,2123)</f>
        <v>2123</v>
      </c>
      <c r="C131" s="2">
        <f t="shared" si="7"/>
        <v>2123</v>
      </c>
      <c r="D131" s="2">
        <f t="shared" si="7"/>
        <v>2123</v>
      </c>
      <c r="E131" s="2">
        <f t="shared" si="7"/>
        <v>2123</v>
      </c>
      <c r="F131" s="2">
        <f t="shared" si="7"/>
        <v>2123</v>
      </c>
      <c r="G131" s="2">
        <f t="shared" si="7"/>
        <v>2123</v>
      </c>
      <c r="H131" s="2">
        <f t="shared" ref="H131" si="8">IF(H$79,1062,2123)</f>
        <v>2123</v>
      </c>
      <c r="I131" s="2">
        <f>IF(I79,1062,2123)</f>
        <v>2123</v>
      </c>
      <c r="J131" s="2">
        <f>IF(J79,1062,2123)</f>
        <v>2123</v>
      </c>
      <c r="K131" s="2">
        <f>IF(K79,1062,2123)</f>
        <v>2123</v>
      </c>
      <c r="L131" s="2">
        <f t="shared" ref="L131" si="9">IF(L79,1062,2123)</f>
        <v>2123</v>
      </c>
      <c r="M131" s="183">
        <v>2123</v>
      </c>
      <c r="N131" s="61">
        <f>N130*50%</f>
        <v>1875</v>
      </c>
      <c r="O131" s="10">
        <v>2123</v>
      </c>
    </row>
    <row r="132" spans="1:15" x14ac:dyDescent="0.15">
      <c r="A132" s="9" t="s">
        <v>99</v>
      </c>
      <c r="B132" s="2"/>
      <c r="C132" s="2"/>
      <c r="D132" s="20"/>
      <c r="E132" s="2"/>
      <c r="F132" s="22"/>
      <c r="G132" s="14"/>
      <c r="H132" s="14"/>
      <c r="I132" s="2"/>
      <c r="J132" s="2"/>
      <c r="K132" s="2"/>
      <c r="L132" s="2"/>
      <c r="M132" s="173"/>
      <c r="N132" s="2"/>
      <c r="O132" s="22"/>
    </row>
    <row r="133" spans="1:15" x14ac:dyDescent="0.15">
      <c r="A133" s="8"/>
      <c r="B133" s="2"/>
      <c r="C133" s="2"/>
      <c r="D133" s="20"/>
      <c r="E133" s="2"/>
      <c r="F133" s="22"/>
      <c r="G133" s="14"/>
      <c r="H133" s="14"/>
      <c r="I133" s="2"/>
      <c r="J133" s="2"/>
      <c r="K133" s="2"/>
      <c r="L133" s="2"/>
      <c r="M133" s="173"/>
      <c r="N133" s="2"/>
      <c r="O133" s="22"/>
    </row>
    <row r="134" spans="1:15" x14ac:dyDescent="0.15">
      <c r="A134" s="9" t="s">
        <v>12</v>
      </c>
      <c r="B134" s="33">
        <v>2012</v>
      </c>
      <c r="C134" s="33">
        <v>2013</v>
      </c>
      <c r="D134" s="33">
        <v>2014</v>
      </c>
      <c r="E134" s="33">
        <v>2015</v>
      </c>
      <c r="F134" s="33">
        <v>2016</v>
      </c>
      <c r="G134" s="33">
        <v>2017</v>
      </c>
      <c r="H134" s="33">
        <v>2018</v>
      </c>
      <c r="I134" s="33">
        <v>2019</v>
      </c>
      <c r="J134" s="33">
        <v>2020</v>
      </c>
      <c r="K134" s="33">
        <v>2021</v>
      </c>
      <c r="L134" s="33">
        <v>2022</v>
      </c>
      <c r="M134" s="171">
        <v>2023</v>
      </c>
      <c r="N134" s="33">
        <v>2024</v>
      </c>
      <c r="O134" s="33">
        <v>2025</v>
      </c>
    </row>
    <row r="135" spans="1:15" x14ac:dyDescent="0.15">
      <c r="A135" s="8"/>
      <c r="B135" s="19">
        <v>0.12</v>
      </c>
      <c r="C135" s="19">
        <v>0.14000000000000001</v>
      </c>
      <c r="D135" s="19">
        <v>0.14000000000000001</v>
      </c>
      <c r="E135" s="19">
        <v>0.14000000000000001</v>
      </c>
      <c r="F135" s="19">
        <v>0.14000000000000001</v>
      </c>
      <c r="G135" s="19">
        <v>0.14000000000000001</v>
      </c>
      <c r="H135" s="19">
        <v>0.14000000000000001</v>
      </c>
      <c r="I135" s="19">
        <v>0.14000000000000001</v>
      </c>
      <c r="J135" s="19">
        <v>0.14000000000000001</v>
      </c>
      <c r="K135" s="19">
        <v>0.14000000000000001</v>
      </c>
      <c r="L135" s="19">
        <v>0.14000000000000001</v>
      </c>
      <c r="M135" s="174">
        <v>0.14000000000000001</v>
      </c>
      <c r="N135" s="19">
        <v>0.1331</v>
      </c>
      <c r="O135" s="20">
        <v>0.127</v>
      </c>
    </row>
    <row r="136" spans="1:15" x14ac:dyDescent="0.15">
      <c r="A136" s="8"/>
      <c r="B136" s="2"/>
      <c r="C136" s="2"/>
      <c r="D136" s="2"/>
      <c r="E136" s="2"/>
      <c r="F136" s="2"/>
      <c r="G136" s="32"/>
      <c r="H136" s="32"/>
      <c r="I136" s="2"/>
      <c r="J136" s="2"/>
      <c r="K136" s="2"/>
      <c r="L136" s="2"/>
      <c r="M136" s="26"/>
      <c r="N136" s="2"/>
      <c r="O136" s="2"/>
    </row>
    <row r="137" spans="1:15" x14ac:dyDescent="0.15">
      <c r="A137" s="9" t="s">
        <v>6</v>
      </c>
      <c r="B137" s="33">
        <v>2012</v>
      </c>
      <c r="C137" s="33">
        <v>2013</v>
      </c>
      <c r="D137" s="33">
        <v>2014</v>
      </c>
      <c r="E137" s="33">
        <v>2015</v>
      </c>
      <c r="F137" s="33">
        <v>2016</v>
      </c>
      <c r="G137" s="33">
        <v>2017</v>
      </c>
      <c r="H137" s="33">
        <v>2018</v>
      </c>
      <c r="I137" s="33">
        <v>2019</v>
      </c>
      <c r="J137" s="33">
        <v>2020</v>
      </c>
      <c r="K137" s="33">
        <v>2021</v>
      </c>
      <c r="L137" s="33">
        <v>2022</v>
      </c>
      <c r="M137" s="171">
        <v>2023</v>
      </c>
      <c r="N137" s="33">
        <v>2024</v>
      </c>
      <c r="O137" s="33">
        <v>2025</v>
      </c>
    </row>
    <row r="138" spans="1:15" x14ac:dyDescent="0.15">
      <c r="A138" s="8" t="s">
        <v>100</v>
      </c>
      <c r="B138" s="64">
        <v>1040000</v>
      </c>
      <c r="C138" s="64">
        <v>1040000</v>
      </c>
      <c r="D138" s="64">
        <v>1040000</v>
      </c>
      <c r="E138" s="64">
        <v>1050000</v>
      </c>
      <c r="F138" s="64">
        <v>1050000</v>
      </c>
      <c r="G138" s="64">
        <v>1060000</v>
      </c>
      <c r="H138" s="64">
        <v>1060000</v>
      </c>
      <c r="I138" s="64">
        <v>1080000</v>
      </c>
      <c r="J138" s="64">
        <v>1090000</v>
      </c>
      <c r="K138" s="64">
        <v>1110000</v>
      </c>
      <c r="L138" s="64">
        <v>1130000</v>
      </c>
      <c r="M138" s="184">
        <v>1200000</v>
      </c>
      <c r="N138" s="187">
        <v>1310000</v>
      </c>
      <c r="O138" s="64">
        <v>1330000</v>
      </c>
    </row>
    <row r="139" spans="1:15" x14ac:dyDescent="0.15">
      <c r="A139" s="8">
        <v>12500</v>
      </c>
      <c r="B139" s="20">
        <v>2E-3</v>
      </c>
      <c r="C139" s="20">
        <v>2E-3</v>
      </c>
      <c r="D139" s="20">
        <v>2.5000000000000001E-3</v>
      </c>
      <c r="E139" s="20">
        <v>3.0000000000000001E-3</v>
      </c>
      <c r="F139" s="20">
        <v>3.0000000000000001E-3</v>
      </c>
      <c r="G139" s="20">
        <v>3.0000000000000001E-3</v>
      </c>
      <c r="H139" s="20">
        <v>2.5000000000000001E-3</v>
      </c>
      <c r="I139" s="20">
        <v>2.5000000000000001E-3</v>
      </c>
      <c r="J139" s="20">
        <v>2E-3</v>
      </c>
      <c r="K139" s="20">
        <v>2E-3</v>
      </c>
      <c r="L139" s="20">
        <v>1.5E-3</v>
      </c>
      <c r="M139" s="173">
        <v>1E-3</v>
      </c>
      <c r="N139" s="2">
        <v>1E-3</v>
      </c>
      <c r="O139" s="2">
        <v>1E-3</v>
      </c>
    </row>
    <row r="140" spans="1:15" x14ac:dyDescent="0.15">
      <c r="A140" s="8">
        <v>25000</v>
      </c>
      <c r="B140" s="65">
        <v>3.5000000000000001E-3</v>
      </c>
      <c r="C140" s="65">
        <v>3.5000000000000001E-3</v>
      </c>
      <c r="D140" s="65">
        <v>4.0000000000000001E-3</v>
      </c>
      <c r="E140" s="65">
        <v>4.4999999999999997E-3</v>
      </c>
      <c r="F140" s="65">
        <v>4.4999999999999997E-3</v>
      </c>
      <c r="G140" s="65">
        <v>4.4999999999999997E-3</v>
      </c>
      <c r="H140" s="65">
        <v>4.0000000000000001E-3</v>
      </c>
      <c r="I140" s="48">
        <v>3.5000000000000001E-3</v>
      </c>
      <c r="J140" s="48">
        <v>3.5000000000000001E-3</v>
      </c>
      <c r="K140" s="48">
        <v>3.0000000000000001E-3</v>
      </c>
      <c r="L140" s="48">
        <v>2.5000000000000001E-3</v>
      </c>
      <c r="M140" s="48">
        <v>2E-3</v>
      </c>
      <c r="N140" s="61">
        <v>2E-3</v>
      </c>
      <c r="O140" s="61">
        <v>2E-3</v>
      </c>
    </row>
    <row r="141" spans="1:15" x14ac:dyDescent="0.15">
      <c r="A141" s="8">
        <v>50000</v>
      </c>
      <c r="B141" s="20">
        <v>4.4999999999999997E-3</v>
      </c>
      <c r="C141" s="20">
        <v>4.4999999999999997E-3</v>
      </c>
      <c r="D141" s="20">
        <v>5.4999999999999997E-3</v>
      </c>
      <c r="E141" s="20">
        <v>6.0000000000000001E-3</v>
      </c>
      <c r="F141" s="20">
        <v>6.0000000000000001E-3</v>
      </c>
      <c r="G141" s="20">
        <v>6.0000000000000001E-3</v>
      </c>
      <c r="H141" s="20">
        <v>5.4999999999999997E-3</v>
      </c>
      <c r="I141" s="48">
        <v>5.0000000000000001E-3</v>
      </c>
      <c r="J141" s="48">
        <v>4.4999999999999997E-3</v>
      </c>
      <c r="K141" s="48">
        <v>4.0000000000000001E-3</v>
      </c>
      <c r="L141" s="48">
        <v>3.5000000000000001E-3</v>
      </c>
      <c r="M141" s="48">
        <v>2.5000000000000001E-3</v>
      </c>
      <c r="N141" s="2">
        <v>2.5000000000000001E-3</v>
      </c>
      <c r="O141" s="22">
        <v>2.5000000000000001E-3</v>
      </c>
    </row>
    <row r="142" spans="1:15" x14ac:dyDescent="0.15">
      <c r="A142" s="8">
        <v>75000</v>
      </c>
      <c r="B142" s="20">
        <v>6.0000000000000001E-3</v>
      </c>
      <c r="C142" s="20">
        <v>6.0000000000000001E-3</v>
      </c>
      <c r="D142" s="20">
        <v>7.0000000000000001E-3</v>
      </c>
      <c r="E142" s="20">
        <v>7.4999999999999997E-3</v>
      </c>
      <c r="F142" s="20">
        <v>7.4999999999999997E-3</v>
      </c>
      <c r="G142" s="20">
        <v>7.4999999999999997E-3</v>
      </c>
      <c r="H142" s="20">
        <v>7.0000000000000001E-3</v>
      </c>
      <c r="I142" s="48">
        <v>6.4999999999999997E-3</v>
      </c>
      <c r="J142" s="48">
        <v>6.0000000000000001E-3</v>
      </c>
      <c r="K142" s="48">
        <v>5.0000000000000001E-3</v>
      </c>
      <c r="L142" s="48">
        <v>4.4999999999999997E-3</v>
      </c>
      <c r="M142" s="48">
        <v>3.5000000000000001E-3</v>
      </c>
      <c r="N142" s="2">
        <v>3.5000000000000001E-3</v>
      </c>
      <c r="O142" s="22">
        <v>3.5000000000000001E-3</v>
      </c>
    </row>
    <row r="143" spans="1:15" x14ac:dyDescent="0.15">
      <c r="A143" s="8">
        <f>LOOKUP(A1,B137:O137,B138:O138)</f>
        <v>1330000</v>
      </c>
      <c r="B143" s="20">
        <v>1.2999999999999999E-2</v>
      </c>
      <c r="C143" s="20">
        <v>1.55E-2</v>
      </c>
      <c r="D143" s="20">
        <v>1.7999999999999999E-2</v>
      </c>
      <c r="E143" s="20">
        <v>2.0500000000000001E-2</v>
      </c>
      <c r="F143" s="20">
        <v>2.35E-2</v>
      </c>
      <c r="G143" s="20">
        <v>2.35E-2</v>
      </c>
      <c r="H143" s="20">
        <v>2.35E-2</v>
      </c>
      <c r="I143" s="48">
        <v>2.35E-2</v>
      </c>
      <c r="J143" s="48">
        <v>2.35E-2</v>
      </c>
      <c r="K143" s="48">
        <v>2.35E-2</v>
      </c>
      <c r="L143" s="48">
        <v>2.35E-2</v>
      </c>
      <c r="M143" s="48">
        <v>2.35E-2</v>
      </c>
      <c r="N143" s="2">
        <v>2.35E-2</v>
      </c>
      <c r="O143" s="22">
        <v>2.35E-2</v>
      </c>
    </row>
    <row r="144" spans="1:15" x14ac:dyDescent="0.15">
      <c r="A144" s="8" t="s">
        <v>102</v>
      </c>
      <c r="B144" s="19">
        <v>1</v>
      </c>
      <c r="C144" s="19">
        <v>1</v>
      </c>
      <c r="D144" s="19">
        <v>1</v>
      </c>
      <c r="E144" s="19">
        <v>1</v>
      </c>
      <c r="F144" s="19">
        <v>1</v>
      </c>
      <c r="G144" s="19">
        <v>1</v>
      </c>
      <c r="H144" s="19">
        <v>1</v>
      </c>
      <c r="I144" s="20">
        <f>H144-(1/30)</f>
        <v>0.96666666666666667</v>
      </c>
      <c r="J144" s="20">
        <f t="shared" ref="J144:O144" si="10">I144-(1/30)</f>
        <v>0.93333333333333335</v>
      </c>
      <c r="K144" s="20">
        <f t="shared" si="10"/>
        <v>0.9</v>
      </c>
      <c r="L144" s="20">
        <f t="shared" si="10"/>
        <v>0.8666666666666667</v>
      </c>
      <c r="M144" s="173">
        <f t="shared" si="10"/>
        <v>0.83333333333333337</v>
      </c>
      <c r="N144" s="20">
        <f t="shared" si="10"/>
        <v>0.8</v>
      </c>
      <c r="O144" s="20">
        <f t="shared" si="10"/>
        <v>0.76666666666666672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O144"/>
  <sheetViews>
    <sheetView showGridLines="0" showRowColHeaders="0" zoomScale="48" workbookViewId="0"/>
  </sheetViews>
  <sheetFormatPr defaultColWidth="0.140625" defaultRowHeight="11.25" x14ac:dyDescent="0.15"/>
  <cols>
    <col min="1" max="1" width="36.140625"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00">
        <f>'1'!E5</f>
        <v>2025</v>
      </c>
      <c r="B1" s="2" t="s">
        <v>44</v>
      </c>
      <c r="C1" s="2"/>
      <c r="D1" s="3">
        <f ca="1">D12-D24-D32-D35</f>
        <v>0</v>
      </c>
      <c r="E1" s="2"/>
      <c r="F1" s="4"/>
      <c r="G1" s="2"/>
      <c r="H1" s="2"/>
      <c r="I1" s="5"/>
      <c r="J1" s="2"/>
      <c r="K1" s="2"/>
      <c r="L1" s="2"/>
      <c r="M1" s="2"/>
      <c r="N1" s="2"/>
      <c r="O1" s="2"/>
    </row>
    <row r="2" spans="1:15" ht="15" x14ac:dyDescent="0.15">
      <c r="A2" s="201">
        <f>'1'!C87</f>
        <v>0</v>
      </c>
      <c r="B2" s="2" t="s">
        <v>101</v>
      </c>
      <c r="C2" s="2"/>
      <c r="D2" s="3"/>
      <c r="E2" s="2"/>
      <c r="F2" s="2"/>
      <c r="G2" s="2"/>
      <c r="H2" s="2"/>
      <c r="I2" s="5"/>
      <c r="J2" s="2"/>
      <c r="K2" s="2"/>
      <c r="L2" s="2"/>
      <c r="M2" s="2"/>
      <c r="N2" s="2"/>
      <c r="O2" s="2"/>
    </row>
    <row r="3" spans="1:15" x14ac:dyDescent="0.15">
      <c r="A3" s="202">
        <f>'1'!C100</f>
        <v>0</v>
      </c>
      <c r="B3" s="2" t="s">
        <v>42</v>
      </c>
      <c r="C3" s="2"/>
      <c r="D3" s="2"/>
      <c r="E3" s="2"/>
      <c r="F3" s="6"/>
      <c r="G3" s="2"/>
      <c r="H3" s="2"/>
      <c r="I3" s="2"/>
      <c r="J3" s="2"/>
      <c r="K3" s="2"/>
      <c r="L3" s="2"/>
      <c r="M3" s="2"/>
      <c r="N3" s="2"/>
      <c r="O3" s="2"/>
    </row>
    <row r="4" spans="1:15" x14ac:dyDescent="0.15">
      <c r="A4" s="203">
        <f>'1'!E10</f>
        <v>36526</v>
      </c>
      <c r="B4" s="2" t="s">
        <v>45</v>
      </c>
      <c r="C4" s="2"/>
      <c r="D4" s="2"/>
      <c r="E4" s="2"/>
      <c r="F4" s="7"/>
      <c r="G4" s="2"/>
      <c r="H4" s="2"/>
      <c r="I4" s="2"/>
      <c r="J4" s="2"/>
      <c r="K4" s="2"/>
      <c r="L4" s="2"/>
      <c r="M4" s="2"/>
      <c r="N4" s="2"/>
      <c r="O4" s="2"/>
    </row>
    <row r="5" spans="1:15" x14ac:dyDescent="0.15">
      <c r="A5" s="8"/>
      <c r="B5" s="2"/>
      <c r="C5" s="2"/>
      <c r="D5" s="2"/>
      <c r="E5" s="2"/>
      <c r="F5" s="4"/>
      <c r="G5" s="2"/>
      <c r="H5" s="2"/>
      <c r="I5" s="2"/>
      <c r="J5" s="2"/>
      <c r="K5" s="2"/>
      <c r="L5" s="2"/>
      <c r="M5" s="2"/>
      <c r="N5" s="2"/>
      <c r="O5" s="2"/>
    </row>
    <row r="6" spans="1:15" x14ac:dyDescent="0.15">
      <c r="A6" s="9" t="s">
        <v>46</v>
      </c>
      <c r="B6" s="2"/>
      <c r="C6" s="2"/>
      <c r="D6" s="2"/>
      <c r="E6" s="2"/>
      <c r="F6" s="4"/>
      <c r="G6" s="2"/>
      <c r="H6" s="2"/>
      <c r="I6" s="2"/>
      <c r="J6" s="2"/>
      <c r="K6" s="2"/>
      <c r="L6" s="2"/>
      <c r="M6" s="2"/>
      <c r="N6" s="2"/>
      <c r="O6" s="2"/>
    </row>
    <row r="7" spans="1:15" x14ac:dyDescent="0.15">
      <c r="A7" s="9" t="s">
        <v>47</v>
      </c>
      <c r="B7" s="10" t="s">
        <v>48</v>
      </c>
      <c r="C7" s="10" t="s">
        <v>49</v>
      </c>
      <c r="D7" s="11" t="s">
        <v>50</v>
      </c>
      <c r="E7" s="2"/>
      <c r="F7" s="12"/>
      <c r="G7" s="10"/>
      <c r="H7" s="10"/>
      <c r="I7" s="11"/>
      <c r="J7" s="2"/>
      <c r="K7" s="2"/>
      <c r="L7" s="2"/>
      <c r="M7" s="2"/>
      <c r="N7" s="2"/>
      <c r="O7" s="2"/>
    </row>
    <row r="8" spans="1:15" x14ac:dyDescent="0.15">
      <c r="A8" s="8" t="s">
        <v>51</v>
      </c>
      <c r="B8" s="2">
        <f>LOOKUP($A$1,$B$73:$O$73,B74:O74)</f>
        <v>26288</v>
      </c>
      <c r="C8" s="13">
        <f ca="1">LOOKUP($A$1,$B$73:$O$73,B80:G80)</f>
        <v>0.35820000000000002</v>
      </c>
      <c r="D8" s="14">
        <f ca="1">IF($A$3&gt;$B8,$B8*$C8,$A$3*$C8)</f>
        <v>0</v>
      </c>
      <c r="E8" s="2"/>
      <c r="F8" s="15"/>
      <c r="G8" s="2"/>
      <c r="H8" s="13"/>
      <c r="I8" s="14"/>
      <c r="J8" s="2"/>
      <c r="K8" s="2"/>
      <c r="L8" s="2"/>
      <c r="M8" s="2"/>
      <c r="N8" s="2"/>
      <c r="O8" s="2"/>
    </row>
    <row r="9" spans="1:15" x14ac:dyDescent="0.15">
      <c r="A9" s="8" t="s">
        <v>52</v>
      </c>
      <c r="B9" s="2">
        <f>LOOKUP($A$1,$B$73:$O$73,B75:O75)</f>
        <v>38441</v>
      </c>
      <c r="C9" s="13">
        <f ca="1">LOOKUP($A$1,$B$73:$O$73,B81:G81)</f>
        <v>0.35820000000000002</v>
      </c>
      <c r="D9" s="14">
        <f ca="1">MAX(IF($A$3&gt;$B9,($B9-$B8)*$C9,($A$3-$B8)*$C9),0)</f>
        <v>0</v>
      </c>
      <c r="E9" s="2"/>
      <c r="F9" s="15"/>
      <c r="G9" s="2"/>
      <c r="H9" s="13"/>
      <c r="I9" s="14"/>
      <c r="J9" s="2"/>
      <c r="K9" s="2"/>
      <c r="L9" s="2"/>
      <c r="M9" s="2"/>
      <c r="N9" s="2"/>
      <c r="O9" s="2"/>
    </row>
    <row r="10" spans="1:15" x14ac:dyDescent="0.15">
      <c r="A10" s="8" t="s">
        <v>53</v>
      </c>
      <c r="B10" s="2">
        <f>LOOKUP($A$1,$B$73:$O$73,B76:O76)</f>
        <v>76817</v>
      </c>
      <c r="C10" s="13">
        <f ca="1">LOOKUP($A$1,$B$73:$O$73,B82:G82)</f>
        <v>0.37480000000000002</v>
      </c>
      <c r="D10" s="14">
        <f ca="1">MAX(IF($A$3&gt;$B10,($B10-$B9)*$C10,($A$3-$B9)*$C10),0)</f>
        <v>0</v>
      </c>
      <c r="E10" s="2"/>
      <c r="F10" s="15"/>
      <c r="G10" s="2"/>
      <c r="H10" s="13"/>
      <c r="I10" s="14"/>
      <c r="J10" s="2"/>
      <c r="K10" s="2"/>
      <c r="L10" s="2"/>
      <c r="M10" s="2"/>
      <c r="N10" s="2"/>
      <c r="O10" s="2"/>
    </row>
    <row r="11" spans="1:15" x14ac:dyDescent="0.15">
      <c r="A11" s="8" t="s">
        <v>54</v>
      </c>
      <c r="B11" s="16">
        <v>1E+100</v>
      </c>
      <c r="C11" s="13">
        <f ca="1">LOOKUP($A$1,$B$73:$O$73,B83:G83)</f>
        <v>0.495</v>
      </c>
      <c r="D11" s="14">
        <f ca="1">MAX(IF($A$3&gt;$B11,($B11-$B10)*$C11,($A$3-$B10)*$C11),0)</f>
        <v>0</v>
      </c>
      <c r="E11" s="2"/>
      <c r="F11" s="15"/>
      <c r="G11" s="16"/>
      <c r="H11" s="13"/>
      <c r="I11" s="14"/>
      <c r="J11" s="2"/>
      <c r="K11" s="2"/>
      <c r="L11" s="2"/>
      <c r="M11" s="2"/>
      <c r="N11" s="2"/>
      <c r="O11" s="2"/>
    </row>
    <row r="12" spans="1:15" ht="15" x14ac:dyDescent="0.15">
      <c r="A12" s="8"/>
      <c r="B12" s="2"/>
      <c r="C12" s="2"/>
      <c r="D12" s="17">
        <f ca="1">ROUNDDOWN(SUM(D8:D11),0)</f>
        <v>0</v>
      </c>
      <c r="E12" s="2"/>
      <c r="F12" s="15"/>
      <c r="G12" s="2"/>
      <c r="H12" s="2"/>
      <c r="I12" s="18"/>
      <c r="J12" s="2"/>
      <c r="K12" s="2"/>
      <c r="L12" s="2"/>
      <c r="M12" s="2"/>
      <c r="N12" s="2"/>
      <c r="O12" s="2"/>
    </row>
    <row r="13" spans="1:15" ht="15" x14ac:dyDescent="0.15">
      <c r="A13" s="8"/>
      <c r="B13" s="2"/>
      <c r="C13" s="2"/>
      <c r="D13" s="18"/>
      <c r="E13" s="2"/>
      <c r="F13" s="8"/>
      <c r="G13" s="2"/>
      <c r="H13" s="2"/>
      <c r="I13" s="18"/>
      <c r="J13" s="2"/>
      <c r="K13" s="2"/>
      <c r="L13" s="2"/>
      <c r="M13" s="2"/>
      <c r="N13" s="2"/>
      <c r="O13" s="2"/>
    </row>
    <row r="14" spans="1:15" ht="15" x14ac:dyDescent="0.15">
      <c r="A14" s="9" t="s">
        <v>55</v>
      </c>
      <c r="B14" s="2">
        <v>250001</v>
      </c>
      <c r="C14" s="2"/>
      <c r="D14" s="41">
        <f>ROUNDDOWN(SUM(D15:D16),0)</f>
        <v>77500</v>
      </c>
      <c r="E14" s="2"/>
      <c r="F14" s="8"/>
      <c r="G14" s="2"/>
      <c r="H14" s="2"/>
      <c r="I14" s="18"/>
      <c r="J14" s="2"/>
      <c r="K14" s="2"/>
      <c r="L14" s="2"/>
      <c r="M14" s="2"/>
      <c r="N14" s="2"/>
      <c r="O14" s="2"/>
    </row>
    <row r="15" spans="1:15" ht="15" x14ac:dyDescent="0.15">
      <c r="A15" s="9"/>
      <c r="B15" s="2">
        <v>250000</v>
      </c>
      <c r="C15" s="36">
        <f>LOOKUP(A1,B73:O73,B85:O85)</f>
        <v>0.31</v>
      </c>
      <c r="D15" s="2">
        <f>IF(B14&gt;B15,B15*C15,B14*C15)</f>
        <v>77500</v>
      </c>
      <c r="E15" s="2"/>
      <c r="F15" s="8"/>
      <c r="G15" s="2"/>
      <c r="H15" s="2"/>
      <c r="I15" s="18"/>
      <c r="J15" s="2"/>
      <c r="K15" s="2"/>
      <c r="L15" s="2"/>
      <c r="M15" s="2"/>
      <c r="N15" s="2"/>
      <c r="O15" s="2"/>
    </row>
    <row r="16" spans="1:15" ht="15" x14ac:dyDescent="0.15">
      <c r="A16" s="2"/>
      <c r="B16" s="2"/>
      <c r="C16" s="19">
        <f>MAX(C15,0.25)</f>
        <v>0.31</v>
      </c>
      <c r="D16" s="2">
        <f>IF(B14&gt;B15,(B14-B15)*C16,0)</f>
        <v>0.31</v>
      </c>
      <c r="E16" s="2"/>
      <c r="F16" s="8"/>
      <c r="G16" s="2"/>
      <c r="H16" s="2"/>
      <c r="I16" s="18"/>
      <c r="J16" s="2"/>
      <c r="K16" s="2"/>
      <c r="L16" s="2"/>
      <c r="M16" s="2"/>
      <c r="N16" s="2"/>
      <c r="O16" s="2"/>
    </row>
    <row r="17" spans="1:15" ht="15" x14ac:dyDescent="0.15">
      <c r="A17" s="8"/>
      <c r="B17" s="2"/>
      <c r="C17" s="2"/>
      <c r="D17" s="18"/>
      <c r="E17" s="2"/>
      <c r="F17" s="8"/>
      <c r="G17" s="2"/>
      <c r="H17" s="2"/>
      <c r="I17" s="18"/>
      <c r="J17" s="2"/>
      <c r="K17" s="2"/>
      <c r="L17" s="2"/>
      <c r="M17" s="2"/>
      <c r="N17" s="2"/>
      <c r="O17" s="2"/>
    </row>
    <row r="18" spans="1:15" ht="15" x14ac:dyDescent="0.15">
      <c r="A18" s="9" t="s">
        <v>8</v>
      </c>
      <c r="B18" s="2"/>
      <c r="C18" s="2"/>
      <c r="D18" s="18"/>
      <c r="E18" s="2"/>
      <c r="F18" s="8"/>
      <c r="G18" s="2"/>
      <c r="H18" s="2"/>
      <c r="I18" s="18"/>
      <c r="J18" s="2"/>
      <c r="K18" s="2"/>
      <c r="L18" s="2"/>
      <c r="M18" s="2"/>
      <c r="N18" s="2"/>
      <c r="O18" s="2"/>
    </row>
    <row r="19" spans="1:15" ht="15" x14ac:dyDescent="0.15">
      <c r="A19" s="201">
        <f>'1'!E131</f>
        <v>0</v>
      </c>
      <c r="B19" s="2">
        <f>LOOKUP(A1,B87:O87,B88:O88)</f>
        <v>200000</v>
      </c>
      <c r="C19" s="19">
        <f>LOOKUP(A1,B87:O87,B89:O89)</f>
        <v>0.19</v>
      </c>
      <c r="D19" s="17">
        <f>IF(A19&lt;B19,A19*C19,(B19*C19)+((A19-B19)*C20))</f>
        <v>0</v>
      </c>
      <c r="E19" s="2"/>
      <c r="F19" s="8"/>
      <c r="G19" s="2"/>
      <c r="H19" s="2"/>
      <c r="I19" s="18"/>
      <c r="J19" s="2"/>
      <c r="K19" s="2"/>
      <c r="L19" s="2"/>
      <c r="M19" s="2"/>
      <c r="N19" s="2"/>
      <c r="O19" s="2"/>
    </row>
    <row r="20" spans="1:15" ht="15" x14ac:dyDescent="0.15">
      <c r="A20" s="8"/>
      <c r="B20" s="2"/>
      <c r="C20" s="19">
        <f>LOOKUP(A1,B87:O87,B90:O90)</f>
        <v>0.25800000000000001</v>
      </c>
      <c r="D20" s="18"/>
      <c r="E20" s="2"/>
      <c r="F20" s="8"/>
      <c r="G20" s="2"/>
      <c r="H20" s="2"/>
      <c r="I20" s="18"/>
      <c r="J20" s="2"/>
      <c r="K20" s="2"/>
      <c r="L20" s="2"/>
      <c r="M20" s="2"/>
      <c r="N20" s="2"/>
      <c r="O20" s="2"/>
    </row>
    <row r="21" spans="1:15" x14ac:dyDescent="0.15">
      <c r="A21" s="9" t="s">
        <v>56</v>
      </c>
      <c r="B21" s="2"/>
      <c r="C21" s="2"/>
      <c r="D21" s="2"/>
      <c r="E21" s="2"/>
      <c r="F21" s="8"/>
      <c r="G21" s="2"/>
      <c r="H21" s="2"/>
      <c r="I21" s="2"/>
      <c r="J21" s="2"/>
      <c r="K21" s="2"/>
      <c r="L21" s="2"/>
      <c r="M21" s="2"/>
      <c r="N21" s="2"/>
      <c r="O21" s="2"/>
    </row>
    <row r="22" spans="1:15" x14ac:dyDescent="0.15">
      <c r="A22" s="9" t="s">
        <v>57</v>
      </c>
      <c r="B22" s="10">
        <f>LOOKUP(A1,B73:O73,B92:O92)</f>
        <v>3068</v>
      </c>
      <c r="C22" s="10"/>
      <c r="D22" s="11"/>
      <c r="E22" s="2"/>
      <c r="F22" s="9"/>
      <c r="G22" s="10"/>
      <c r="H22" s="10"/>
      <c r="I22" s="11"/>
      <c r="J22" s="2"/>
      <c r="K22" s="2"/>
      <c r="L22" s="2"/>
      <c r="M22" s="2"/>
      <c r="N22" s="2"/>
      <c r="O22" s="2"/>
    </row>
    <row r="23" spans="1:15" x14ac:dyDescent="0.15">
      <c r="A23" s="8" t="s">
        <v>58</v>
      </c>
      <c r="B23" s="2">
        <f>LOOKUP(A1,B73:O73,B94:O94)</f>
        <v>0</v>
      </c>
      <c r="C23" s="2"/>
      <c r="D23" s="14"/>
      <c r="E23" s="2"/>
      <c r="F23" s="8"/>
      <c r="G23" s="2"/>
      <c r="H23" s="2"/>
      <c r="I23" s="14"/>
      <c r="J23" s="2"/>
      <c r="K23" s="2"/>
      <c r="L23" s="2"/>
      <c r="M23" s="2"/>
      <c r="N23" s="2"/>
      <c r="O23" s="2"/>
    </row>
    <row r="24" spans="1:15" ht="15" x14ac:dyDescent="0.15">
      <c r="A24" s="8" t="s">
        <v>59</v>
      </c>
      <c r="B24" s="2">
        <f>LOOKUP($A$1,$B$73:$O$73,B74:O74)</f>
        <v>26288</v>
      </c>
      <c r="C24" s="2">
        <f>LOOKUP($A$1,$B$73:$O$73,B93:O93)</f>
        <v>6.3369999999999996E-2</v>
      </c>
      <c r="D24" s="17">
        <f ca="1">MIN(MAX(IF(A3&gt;B24,B22-((A3-B24)*C24),B22),B23),D12)</f>
        <v>0</v>
      </c>
      <c r="E24" s="2"/>
      <c r="F24" s="8"/>
      <c r="G24" s="2"/>
      <c r="H24" s="2"/>
      <c r="I24" s="18"/>
      <c r="J24" s="2"/>
      <c r="K24" s="2"/>
      <c r="L24" s="2"/>
      <c r="M24" s="2"/>
      <c r="N24" s="2"/>
      <c r="O24" s="2"/>
    </row>
    <row r="25" spans="1:15" x14ac:dyDescent="0.15">
      <c r="A25" s="8"/>
      <c r="B25" s="2"/>
      <c r="C25" s="2"/>
      <c r="D25" s="20"/>
      <c r="E25" s="2"/>
      <c r="F25" s="21"/>
      <c r="G25" s="14"/>
      <c r="H25" s="14"/>
      <c r="I25" s="2"/>
      <c r="J25" s="2"/>
      <c r="K25" s="2"/>
      <c r="L25" s="2"/>
      <c r="M25" s="20"/>
      <c r="N25" s="2"/>
      <c r="O25" s="22"/>
    </row>
    <row r="26" spans="1:15" x14ac:dyDescent="0.15">
      <c r="A26" s="8"/>
      <c r="B26" s="2"/>
      <c r="C26" s="2"/>
      <c r="D26" s="20"/>
      <c r="E26" s="2"/>
      <c r="F26" s="21"/>
      <c r="G26" s="14"/>
      <c r="H26" s="14"/>
      <c r="I26" s="2"/>
      <c r="J26" s="2"/>
      <c r="K26" s="2"/>
      <c r="L26" s="2"/>
      <c r="M26" s="20"/>
      <c r="N26" s="2"/>
      <c r="O26" s="22"/>
    </row>
    <row r="27" spans="1:15" x14ac:dyDescent="0.15">
      <c r="A27" s="9" t="s">
        <v>60</v>
      </c>
      <c r="B27" s="14">
        <f>A2</f>
        <v>0</v>
      </c>
      <c r="C27" s="2"/>
      <c r="D27" s="2"/>
      <c r="E27" s="2"/>
      <c r="F27" s="15"/>
      <c r="G27" s="2"/>
      <c r="H27" s="2"/>
      <c r="I27" s="2"/>
      <c r="J27" s="2"/>
      <c r="K27" s="2"/>
      <c r="L27" s="2"/>
      <c r="M27" s="2"/>
      <c r="N27" s="2"/>
      <c r="O27" s="2"/>
    </row>
    <row r="28" spans="1:15" x14ac:dyDescent="0.15">
      <c r="A28" s="8" t="s">
        <v>51</v>
      </c>
      <c r="B28" s="2">
        <f>LOOKUP($A$1,$B$96:$O$96,B97:O97)</f>
        <v>12169</v>
      </c>
      <c r="C28" s="2">
        <f>LOOKUP($A$1,$B$96:$O$96,B102:O102)</f>
        <v>8.0530000000000004E-2</v>
      </c>
      <c r="D28" s="14">
        <f>IF(B27&gt;$B28,$B28*$C28,B27*$C28)</f>
        <v>0</v>
      </c>
      <c r="E28" s="2"/>
      <c r="F28" s="15"/>
      <c r="G28" s="2"/>
      <c r="H28" s="2"/>
      <c r="I28" s="14"/>
      <c r="J28" s="2"/>
      <c r="K28" s="2"/>
      <c r="L28" s="2"/>
      <c r="M28" s="2"/>
      <c r="N28" s="2"/>
      <c r="O28" s="2"/>
    </row>
    <row r="29" spans="1:15" x14ac:dyDescent="0.15">
      <c r="A29" s="8" t="s">
        <v>52</v>
      </c>
      <c r="B29" s="2">
        <f>LOOKUP($A$1,$B$96:$O$96,B98:O98)</f>
        <v>26288</v>
      </c>
      <c r="C29" s="2">
        <f>LOOKUP($A$1,$B$96:$O$96,B103:O103)</f>
        <v>0.30030000000000001</v>
      </c>
      <c r="D29" s="14">
        <f>MAX(IF(B27&gt;$B29,($B29-$B28)*$C29,(B27-$B28)*$C29),0)</f>
        <v>0</v>
      </c>
      <c r="E29" s="10"/>
      <c r="F29" s="15"/>
      <c r="G29" s="2"/>
      <c r="H29" s="2"/>
      <c r="I29" s="14"/>
      <c r="J29" s="2"/>
      <c r="K29" s="10"/>
      <c r="L29" s="10"/>
      <c r="M29" s="10"/>
      <c r="N29" s="10"/>
      <c r="O29" s="10"/>
    </row>
    <row r="30" spans="1:15" x14ac:dyDescent="0.15">
      <c r="A30" s="8" t="s">
        <v>53</v>
      </c>
      <c r="B30" s="2">
        <f>LOOKUP($A$1,$B$96:$O$96,B99:O99)</f>
        <v>43071</v>
      </c>
      <c r="C30" s="2">
        <f>LOOKUP($A$1,$B$96:$O$96,B104:O104)</f>
        <v>2.2579999999999999E-2</v>
      </c>
      <c r="D30" s="14">
        <f>MAX(IF(B27&gt;$B30,($B30-$B29)*$C30,(B27-$B29)*$C30),0)</f>
        <v>0</v>
      </c>
      <c r="E30" s="2"/>
      <c r="F30" s="15"/>
      <c r="G30" s="2"/>
      <c r="H30" s="2"/>
      <c r="I30" s="14"/>
      <c r="J30" s="2"/>
      <c r="K30" s="2"/>
      <c r="L30" s="2"/>
      <c r="M30" s="20"/>
      <c r="N30" s="2"/>
      <c r="O30" s="22"/>
    </row>
    <row r="31" spans="1:15" x14ac:dyDescent="0.15">
      <c r="A31" s="8" t="s">
        <v>54</v>
      </c>
      <c r="B31" s="2">
        <f>LOOKUP($A$1,$B$96:$O$96,B100:O100)</f>
        <v>129078</v>
      </c>
      <c r="C31" s="2">
        <f>-1*(LOOKUP($A$1,$B$96:$O$96,B105:O105))</f>
        <v>-6.5100000000000005E-2</v>
      </c>
      <c r="D31" s="14">
        <f>IF(B27&lt;B30,0,IF(B27&gt;$B31,($B31-$B30)*$C31,(B27-$B30)*$C31))</f>
        <v>0</v>
      </c>
      <c r="E31" s="2"/>
      <c r="F31" s="15"/>
      <c r="G31" s="2"/>
      <c r="H31" s="2"/>
      <c r="I31" s="14"/>
      <c r="J31" s="2"/>
      <c r="K31" s="2"/>
      <c r="L31" s="2"/>
      <c r="M31" s="20"/>
      <c r="N31" s="2"/>
      <c r="O31" s="22"/>
    </row>
    <row r="32" spans="1:15" ht="15" x14ac:dyDescent="0.15">
      <c r="A32" s="8" t="s">
        <v>61</v>
      </c>
      <c r="B32" s="2">
        <f>LOOKUP($A$1,$B$96:$O$96,B107:O107)</f>
        <v>5599</v>
      </c>
      <c r="C32" s="2">
        <f>LOOKUP($A$1,$B$96:$O$96,B108:O108)</f>
        <v>0</v>
      </c>
      <c r="D32" s="17">
        <f>MAX(SUM(D28:D31),C32)</f>
        <v>0</v>
      </c>
      <c r="E32" s="2"/>
      <c r="F32" s="15"/>
      <c r="G32" s="2"/>
      <c r="H32" s="2"/>
      <c r="I32" s="18"/>
      <c r="J32" s="2"/>
      <c r="K32" s="2"/>
      <c r="L32" s="2"/>
      <c r="M32" s="20"/>
      <c r="N32" s="2"/>
      <c r="O32" s="22"/>
    </row>
    <row r="33" spans="1:15" x14ac:dyDescent="0.15">
      <c r="A33" s="8"/>
      <c r="B33" s="2"/>
      <c r="C33" s="2"/>
      <c r="D33" s="14"/>
      <c r="E33" s="2"/>
      <c r="F33" s="21"/>
      <c r="G33" s="14"/>
      <c r="H33" s="14"/>
      <c r="I33" s="2"/>
      <c r="J33" s="2"/>
      <c r="K33" s="2"/>
      <c r="L33" s="2"/>
      <c r="M33" s="20"/>
      <c r="N33" s="2"/>
      <c r="O33" s="22"/>
    </row>
    <row r="34" spans="1:15" x14ac:dyDescent="0.15">
      <c r="A34" s="8" t="s">
        <v>118</v>
      </c>
      <c r="B34" s="205">
        <f>-'1'!C97+D37+D38+D40+'1'!C92</f>
        <v>0</v>
      </c>
      <c r="C34" s="2"/>
      <c r="D34" s="14"/>
      <c r="E34" s="2"/>
      <c r="F34" s="8"/>
      <c r="G34" s="2"/>
      <c r="H34" s="2"/>
      <c r="I34" s="14"/>
      <c r="J34" s="2"/>
      <c r="K34" s="2"/>
      <c r="L34" s="2"/>
      <c r="M34" s="20"/>
      <c r="N34" s="2"/>
      <c r="O34" s="22"/>
    </row>
    <row r="35" spans="1:15" ht="15" x14ac:dyDescent="0.15">
      <c r="A35" s="9" t="s">
        <v>119</v>
      </c>
      <c r="B35" s="13">
        <f>LOOKUP(A1,B73:O73,B110:O110)</f>
        <v>0.1202</v>
      </c>
      <c r="C35" s="2">
        <f>IF(MAX(A3+B34-B10,0)&gt;B34,B34,MAX((A3+B34-B10),0))</f>
        <v>0</v>
      </c>
      <c r="D35" s="23">
        <f>ROUNDDOWN(B35*C35,0)</f>
        <v>0</v>
      </c>
      <c r="E35" s="2"/>
      <c r="F35" s="8"/>
      <c r="G35" s="13"/>
      <c r="H35" s="2"/>
      <c r="I35" s="24"/>
      <c r="J35" s="2"/>
      <c r="K35" s="2"/>
      <c r="L35" s="2"/>
      <c r="M35" s="20"/>
      <c r="N35" s="2"/>
      <c r="O35" s="22"/>
    </row>
    <row r="36" spans="1:15" x14ac:dyDescent="0.15">
      <c r="A36" s="8"/>
      <c r="B36" s="2"/>
      <c r="C36" s="2"/>
      <c r="D36" s="20"/>
      <c r="E36" s="2"/>
      <c r="F36" s="22"/>
      <c r="G36" s="14"/>
      <c r="H36" s="14"/>
      <c r="I36" s="2"/>
      <c r="J36" s="2"/>
      <c r="K36" s="2"/>
      <c r="L36" s="2"/>
      <c r="M36" s="20"/>
      <c r="N36" s="2"/>
      <c r="O36" s="22"/>
    </row>
    <row r="37" spans="1:15" ht="15" x14ac:dyDescent="0.15">
      <c r="A37" s="9" t="s">
        <v>63</v>
      </c>
      <c r="B37" s="206" t="b">
        <v>0</v>
      </c>
      <c r="C37" s="2">
        <f>IF(B37,LOOKUP(A1,B129:O129,B130:O130),0)</f>
        <v>0</v>
      </c>
      <c r="D37" s="25">
        <f>MIN(C37,A2)</f>
        <v>0</v>
      </c>
      <c r="E37" s="2"/>
      <c r="F37" s="22"/>
      <c r="G37" s="14"/>
      <c r="H37" s="14"/>
      <c r="I37" s="2"/>
      <c r="J37" s="2"/>
      <c r="K37" s="2"/>
      <c r="L37" s="2"/>
      <c r="M37" s="20"/>
      <c r="N37" s="2"/>
      <c r="O37" s="22"/>
    </row>
    <row r="38" spans="1:15" ht="15" x14ac:dyDescent="0.15">
      <c r="A38" s="9" t="s">
        <v>64</v>
      </c>
      <c r="B38" s="206"/>
      <c r="C38" s="2"/>
      <c r="D38" s="25">
        <f>IF(B37*B38,LOOKUP(A1,B129:O129,B131:O131),0)</f>
        <v>0</v>
      </c>
      <c r="E38" s="2"/>
      <c r="F38" s="22"/>
      <c r="G38" s="14"/>
      <c r="H38" s="14"/>
      <c r="I38" s="2"/>
      <c r="J38" s="2"/>
      <c r="K38" s="2"/>
      <c r="L38" s="2"/>
      <c r="M38" s="20"/>
      <c r="N38" s="2"/>
      <c r="O38" s="22"/>
    </row>
    <row r="39" spans="1:15" ht="15" x14ac:dyDescent="0.15">
      <c r="A39" s="9"/>
      <c r="B39" s="26"/>
      <c r="C39" s="2"/>
      <c r="D39" s="27"/>
      <c r="E39" s="2"/>
      <c r="F39" s="22"/>
      <c r="G39" s="14"/>
      <c r="H39" s="14"/>
      <c r="I39" s="2"/>
      <c r="J39" s="2"/>
      <c r="K39" s="2"/>
      <c r="L39" s="2"/>
      <c r="M39" s="20"/>
      <c r="N39" s="2"/>
      <c r="O39" s="22"/>
    </row>
    <row r="40" spans="1:15" ht="15" x14ac:dyDescent="0.15">
      <c r="A40" s="9" t="s">
        <v>65</v>
      </c>
      <c r="B40" s="207">
        <f>A2-D37-D38-D50</f>
        <v>0</v>
      </c>
      <c r="C40" s="2">
        <f>LOOKUP(A1,B134:O134,B135:O135)</f>
        <v>0.127</v>
      </c>
      <c r="D40" s="29">
        <f>ROUNDUP(C40*B40,0)</f>
        <v>0</v>
      </c>
      <c r="E40" s="2"/>
      <c r="F40" s="22"/>
      <c r="G40" s="14"/>
      <c r="H40" s="14"/>
      <c r="I40" s="2"/>
      <c r="J40" s="2"/>
      <c r="K40" s="2"/>
      <c r="L40" s="2"/>
      <c r="M40" s="20"/>
      <c r="N40" s="2"/>
      <c r="O40" s="22"/>
    </row>
    <row r="41" spans="1:15" ht="15" x14ac:dyDescent="0.15">
      <c r="A41" s="8"/>
      <c r="B41" s="26"/>
      <c r="C41" s="2"/>
      <c r="D41" s="27"/>
      <c r="E41" s="2"/>
      <c r="F41" s="22"/>
      <c r="G41" s="14"/>
      <c r="H41" s="14"/>
      <c r="I41" s="2"/>
      <c r="J41" s="2"/>
      <c r="K41" s="2"/>
      <c r="L41" s="2"/>
      <c r="M41" s="20"/>
      <c r="N41" s="2"/>
      <c r="O41" s="22"/>
    </row>
    <row r="42" spans="1:15" x14ac:dyDescent="0.15">
      <c r="A42" s="9" t="s">
        <v>66</v>
      </c>
      <c r="B42" s="2">
        <f>LOOKUP(A1,B113:O113,B114:O114)</f>
        <v>6145</v>
      </c>
      <c r="C42" s="2">
        <f>LOOKUP(A1,B113:O113,B116:O116)</f>
        <v>0.1145</v>
      </c>
      <c r="D42" s="28">
        <f>ROUNDUP(IF(A3&gt;B42,(C42*(A3-B42))+B43,B43),0)</f>
        <v>0</v>
      </c>
      <c r="E42" s="2"/>
      <c r="F42" s="22"/>
      <c r="G42" s="14"/>
      <c r="H42" s="14"/>
      <c r="I42" s="2"/>
      <c r="J42" s="2"/>
      <c r="K42" s="2"/>
      <c r="L42" s="2"/>
      <c r="M42" s="20"/>
      <c r="N42" s="2"/>
      <c r="O42" s="22"/>
    </row>
    <row r="43" spans="1:15" x14ac:dyDescent="0.15">
      <c r="A43" s="8" t="s">
        <v>67</v>
      </c>
      <c r="B43" s="2">
        <f>LOOKUP($A$1,$B$113:$O$113,B117:O117)</f>
        <v>0</v>
      </c>
      <c r="C43" s="2"/>
      <c r="D43" s="28"/>
      <c r="E43" s="2"/>
      <c r="F43" s="22"/>
      <c r="G43" s="14"/>
      <c r="H43" s="14"/>
      <c r="I43" s="2"/>
      <c r="J43" s="2"/>
      <c r="K43" s="2"/>
      <c r="L43" s="2"/>
      <c r="M43" s="20"/>
      <c r="N43" s="2"/>
      <c r="O43" s="22"/>
    </row>
    <row r="44" spans="1:15" ht="15" x14ac:dyDescent="0.15">
      <c r="A44" s="8" t="s">
        <v>68</v>
      </c>
      <c r="B44" s="2">
        <f>LOOKUP($A$1,$B$113:$O$113,B118:O118)</f>
        <v>2986</v>
      </c>
      <c r="C44" s="2"/>
      <c r="D44" s="23">
        <f>MIN(D42,B44)</f>
        <v>0</v>
      </c>
      <c r="E44" s="2"/>
      <c r="F44" s="22"/>
      <c r="G44" s="14"/>
      <c r="H44" s="14"/>
      <c r="I44" s="2"/>
      <c r="J44" s="2"/>
      <c r="K44" s="2"/>
      <c r="L44" s="2"/>
      <c r="M44" s="20"/>
      <c r="N44" s="2"/>
      <c r="O44" s="22"/>
    </row>
    <row r="45" spans="1:15" x14ac:dyDescent="0.15">
      <c r="A45" s="8"/>
      <c r="B45" s="2"/>
      <c r="C45" s="2"/>
      <c r="D45" s="20"/>
      <c r="E45" s="2"/>
      <c r="F45" s="22"/>
      <c r="G45" s="14"/>
      <c r="H45" s="14"/>
      <c r="I45" s="2"/>
      <c r="J45" s="2"/>
      <c r="K45" s="2"/>
      <c r="L45" s="2"/>
      <c r="M45" s="20"/>
      <c r="N45" s="2"/>
      <c r="O45" s="22"/>
    </row>
    <row r="46" spans="1:15" ht="15" x14ac:dyDescent="0.15">
      <c r="A46" s="9" t="s">
        <v>69</v>
      </c>
      <c r="B46" s="2">
        <f>LOOKUP(A1,B120:O120,B123:O123)</f>
        <v>75864</v>
      </c>
      <c r="C46" s="2">
        <f>LOOKUP(A1,B120:O120,B122:O122)</f>
        <v>5.2600000000000001E-2</v>
      </c>
      <c r="D46" s="23">
        <f>IF($A$3&gt;B46,B46*C46,A3*C46)</f>
        <v>0</v>
      </c>
      <c r="E46" s="2"/>
      <c r="F46" s="22"/>
      <c r="G46" s="14"/>
      <c r="H46" s="14"/>
      <c r="I46" s="2"/>
      <c r="J46" s="2"/>
      <c r="K46" s="2"/>
      <c r="L46" s="2"/>
      <c r="M46" s="20"/>
      <c r="N46" s="2"/>
      <c r="O46" s="22"/>
    </row>
    <row r="47" spans="1:15" ht="15" x14ac:dyDescent="0.15">
      <c r="A47" s="9" t="s">
        <v>70</v>
      </c>
      <c r="B47" s="2">
        <f>LOOKUP(A1,B120:O120,B123:O123)</f>
        <v>75864</v>
      </c>
      <c r="C47" s="2">
        <f>LOOKUP(A1,B120:O120,B121:O121)</f>
        <v>6.5100000000000005E-2</v>
      </c>
      <c r="D47" s="23">
        <f>IF($A$3&gt;B47,B47*C47,A3*C47)</f>
        <v>0</v>
      </c>
      <c r="E47" s="2"/>
      <c r="F47" s="22"/>
      <c r="G47" s="14"/>
      <c r="H47" s="14"/>
      <c r="I47" s="2"/>
      <c r="J47" s="2"/>
      <c r="K47" s="2"/>
      <c r="L47" s="2"/>
      <c r="M47" s="20"/>
      <c r="N47" s="2"/>
      <c r="O47" s="22"/>
    </row>
    <row r="48" spans="1:15" x14ac:dyDescent="0.15">
      <c r="A48" s="8"/>
      <c r="B48" s="2"/>
      <c r="C48" s="2"/>
      <c r="D48" s="20"/>
      <c r="E48" s="2"/>
      <c r="F48" s="22"/>
      <c r="G48" s="14"/>
      <c r="H48" s="14"/>
      <c r="I48" s="2"/>
      <c r="J48" s="2"/>
      <c r="K48" s="2"/>
      <c r="L48" s="2"/>
      <c r="M48" s="20"/>
      <c r="N48" s="2"/>
      <c r="O48" s="22"/>
    </row>
    <row r="49" spans="1:15" x14ac:dyDescent="0.15">
      <c r="A49" s="9" t="s">
        <v>71</v>
      </c>
      <c r="B49" s="2">
        <f>LOOKUP(A1,B125:O125,B127:O127)</f>
        <v>0</v>
      </c>
      <c r="C49" s="2">
        <f>LOOKUP(A1,B125:O125,B126:O126)</f>
        <v>0</v>
      </c>
      <c r="D49" s="42">
        <f>MIN(A2*C49,B49)</f>
        <v>0</v>
      </c>
      <c r="E49" s="2"/>
      <c r="F49" s="22"/>
      <c r="G49" s="14"/>
      <c r="H49" s="14"/>
      <c r="I49" s="2"/>
      <c r="J49" s="2"/>
      <c r="K49" s="2"/>
      <c r="L49" s="2"/>
      <c r="M49" s="20"/>
      <c r="N49" s="2"/>
      <c r="O49" s="22"/>
    </row>
    <row r="50" spans="1:15" ht="15" x14ac:dyDescent="0.15">
      <c r="A50" s="8" t="b">
        <v>0</v>
      </c>
      <c r="B50" s="2">
        <f>B37*A50</f>
        <v>0</v>
      </c>
      <c r="C50" s="2"/>
      <c r="D50" s="23">
        <f>IF(B50=1,D49,0)</f>
        <v>0</v>
      </c>
      <c r="E50" s="2"/>
      <c r="F50" s="22"/>
      <c r="G50" s="14"/>
      <c r="H50" s="14"/>
      <c r="I50" s="2"/>
      <c r="J50" s="2"/>
      <c r="K50" s="2"/>
      <c r="L50" s="2"/>
      <c r="M50" s="20"/>
      <c r="N50" s="2"/>
      <c r="O50" s="22"/>
    </row>
    <row r="51" spans="1:15" x14ac:dyDescent="0.15">
      <c r="A51" s="8"/>
      <c r="B51" s="2"/>
      <c r="C51" s="2"/>
      <c r="D51" s="20"/>
      <c r="E51" s="2"/>
      <c r="F51" s="22"/>
      <c r="G51" s="14"/>
      <c r="H51" s="14"/>
      <c r="I51" s="2"/>
      <c r="J51" s="2"/>
      <c r="K51" s="2"/>
      <c r="L51" s="2"/>
      <c r="M51" s="20"/>
      <c r="N51" s="2"/>
      <c r="O51" s="22"/>
    </row>
    <row r="52" spans="1:15" ht="15" x14ac:dyDescent="0.15">
      <c r="A52" s="9" t="s">
        <v>6</v>
      </c>
      <c r="B52" s="204">
        <f>'1'!E8</f>
        <v>0</v>
      </c>
      <c r="C52" s="2"/>
      <c r="D52" s="17">
        <f>SUM(D53:D57)</f>
        <v>0</v>
      </c>
      <c r="E52" s="2"/>
      <c r="F52" s="22"/>
      <c r="G52" s="14"/>
      <c r="H52" s="14"/>
      <c r="I52" s="2"/>
      <c r="J52" s="2"/>
      <c r="K52" s="2"/>
      <c r="L52" s="2"/>
      <c r="M52" s="20"/>
      <c r="N52" s="2"/>
      <c r="O52" s="22"/>
    </row>
    <row r="53" spans="1:15" x14ac:dyDescent="0.15">
      <c r="A53" s="8" t="s">
        <v>51</v>
      </c>
      <c r="B53" s="2">
        <f>A139</f>
        <v>12500</v>
      </c>
      <c r="C53" s="13">
        <f>LOOKUP($A$1,$B$137:$O$137,B139:O139)</f>
        <v>1E-3</v>
      </c>
      <c r="D53" s="2">
        <f>IF($B$52&lt;B53,0,IF($B$52&lt;B54,$B$52*C53,0))</f>
        <v>0</v>
      </c>
      <c r="E53" s="2"/>
      <c r="F53" s="22"/>
      <c r="G53" s="14"/>
      <c r="H53" s="14"/>
      <c r="I53" s="2"/>
      <c r="J53" s="2"/>
      <c r="K53" s="2"/>
      <c r="L53" s="2"/>
      <c r="M53" s="20"/>
      <c r="N53" s="2"/>
      <c r="O53" s="22"/>
    </row>
    <row r="54" spans="1:15" x14ac:dyDescent="0.15">
      <c r="A54" s="8" t="s">
        <v>52</v>
      </c>
      <c r="B54" s="2">
        <f>A140</f>
        <v>25000</v>
      </c>
      <c r="C54" s="13">
        <f>LOOKUP($A$1,$B$137:$O$137,B140:O140)</f>
        <v>2E-3</v>
      </c>
      <c r="D54" s="2">
        <f>IF($B$52&lt;B54,0,IF($B$52&lt;B55,$B$52*C54,0))</f>
        <v>0</v>
      </c>
      <c r="E54" s="2"/>
      <c r="F54" s="22"/>
      <c r="G54" s="14"/>
      <c r="H54" s="14"/>
      <c r="I54" s="2"/>
      <c r="J54" s="2"/>
      <c r="K54" s="2"/>
      <c r="L54" s="2"/>
      <c r="M54" s="20"/>
      <c r="N54" s="2"/>
      <c r="O54" s="22"/>
    </row>
    <row r="55" spans="1:15" x14ac:dyDescent="0.15">
      <c r="A55" s="8" t="s">
        <v>53</v>
      </c>
      <c r="B55" s="2">
        <f>A141</f>
        <v>50000</v>
      </c>
      <c r="C55" s="13">
        <f>LOOKUP($A$1,$B$137:$O$137,B141:O141)</f>
        <v>2.5000000000000001E-3</v>
      </c>
      <c r="D55" s="2">
        <f>IF($B$52&lt;B55,0,IF($B$52&lt;B56,$B$52*C55,0))</f>
        <v>0</v>
      </c>
      <c r="E55" s="2"/>
      <c r="F55" s="22"/>
      <c r="G55" s="14"/>
      <c r="H55" s="14"/>
      <c r="I55" s="2"/>
      <c r="J55" s="2"/>
      <c r="K55" s="2"/>
      <c r="L55" s="2"/>
      <c r="M55" s="20"/>
      <c r="N55" s="2"/>
      <c r="O55" s="22"/>
    </row>
    <row r="56" spans="1:15" x14ac:dyDescent="0.15">
      <c r="A56" s="8" t="s">
        <v>54</v>
      </c>
      <c r="B56" s="2">
        <f>A142</f>
        <v>75000</v>
      </c>
      <c r="C56" s="13">
        <f>LOOKUP($A$1,$B$137:$O$137,B142:O142)</f>
        <v>3.5000000000000001E-3</v>
      </c>
      <c r="D56" s="2">
        <f>IF($B$52&lt;B56,0,IF($B$52&lt;B57,$B$52*C56,0))</f>
        <v>0</v>
      </c>
      <c r="E56" s="2"/>
      <c r="F56" s="22"/>
      <c r="G56" s="14"/>
      <c r="H56" s="14"/>
      <c r="I56" s="2"/>
      <c r="J56" s="2"/>
      <c r="K56" s="2"/>
      <c r="L56" s="2"/>
      <c r="M56" s="20"/>
      <c r="N56" s="2"/>
      <c r="O56" s="22"/>
    </row>
    <row r="57" spans="1:15" x14ac:dyDescent="0.15">
      <c r="A57" s="8" t="s">
        <v>72</v>
      </c>
      <c r="B57" s="2">
        <f>A143</f>
        <v>1330000</v>
      </c>
      <c r="C57" s="13">
        <f>LOOKUP($A$1,$B$137:$O$137,B143:O143)</f>
        <v>2.35E-2</v>
      </c>
      <c r="D57" s="2">
        <f>IF($B$52&gt;B57,(C56*B57)+(C57*(B52-B57)),0)</f>
        <v>0</v>
      </c>
      <c r="E57" s="2"/>
      <c r="F57" s="22"/>
      <c r="G57" s="14"/>
      <c r="H57" s="14"/>
      <c r="I57" s="2"/>
      <c r="J57" s="2"/>
      <c r="K57" s="2"/>
      <c r="L57" s="2"/>
      <c r="M57" s="20"/>
      <c r="N57" s="2"/>
      <c r="O57" s="22"/>
    </row>
    <row r="58" spans="1:15" x14ac:dyDescent="0.15">
      <c r="A58" s="8"/>
      <c r="B58" s="2"/>
      <c r="C58" s="2"/>
      <c r="D58" s="20"/>
      <c r="E58" s="2"/>
      <c r="F58" s="22"/>
      <c r="G58" s="14"/>
      <c r="H58" s="14"/>
      <c r="I58" s="2"/>
      <c r="J58" s="2"/>
      <c r="K58" s="2"/>
      <c r="L58" s="2"/>
      <c r="M58" s="20"/>
      <c r="N58" s="2"/>
      <c r="O58" s="22"/>
    </row>
    <row r="59" spans="1:15" ht="15" x14ac:dyDescent="0.15">
      <c r="A59" s="9" t="s">
        <v>19</v>
      </c>
      <c r="B59" s="204"/>
      <c r="C59" s="2"/>
      <c r="D59" s="29">
        <f>SUM(D60:D63)</f>
        <v>0</v>
      </c>
      <c r="E59" s="2"/>
      <c r="F59" s="22"/>
      <c r="G59" s="14"/>
      <c r="H59" s="14"/>
      <c r="I59" s="2"/>
      <c r="J59" s="2"/>
      <c r="K59" s="2"/>
      <c r="L59" s="2"/>
      <c r="M59" s="20"/>
      <c r="N59" s="2"/>
      <c r="O59" s="22"/>
    </row>
    <row r="60" spans="1:15" x14ac:dyDescent="0.15">
      <c r="A60" s="8" t="s">
        <v>51</v>
      </c>
      <c r="B60" s="2">
        <v>525</v>
      </c>
      <c r="C60" s="20">
        <v>1.2500000000000001E-2</v>
      </c>
      <c r="D60" s="2">
        <f>IF($B$59&lt;B60,0,IF($B$59&lt;B61,$A$2*C60,0))</f>
        <v>0</v>
      </c>
      <c r="E60" s="2"/>
      <c r="F60" s="22"/>
      <c r="G60" s="14"/>
      <c r="H60" s="14"/>
      <c r="I60" s="2"/>
      <c r="J60" s="2"/>
      <c r="K60" s="2"/>
      <c r="L60" s="2"/>
      <c r="M60" s="20"/>
      <c r="N60" s="2"/>
      <c r="O60" s="22"/>
    </row>
    <row r="61" spans="1:15" x14ac:dyDescent="0.15">
      <c r="A61" s="8" t="s">
        <v>52</v>
      </c>
      <c r="B61" s="2">
        <v>875</v>
      </c>
      <c r="C61" s="19">
        <v>0.02</v>
      </c>
      <c r="D61" s="2">
        <f>IF($B$59&lt;B61,0,IF($B$59&lt;B62,$A$2*C61,0))</f>
        <v>0</v>
      </c>
      <c r="E61" s="2"/>
      <c r="F61" s="22"/>
      <c r="G61" s="14"/>
      <c r="H61" s="14"/>
      <c r="I61" s="2"/>
      <c r="J61" s="2"/>
      <c r="K61" s="2"/>
      <c r="L61" s="2"/>
      <c r="M61" s="20"/>
      <c r="N61" s="2"/>
      <c r="O61" s="22"/>
    </row>
    <row r="62" spans="1:15" x14ac:dyDescent="0.15">
      <c r="A62" s="8" t="s">
        <v>53</v>
      </c>
      <c r="B62" s="2">
        <v>1225</v>
      </c>
      <c r="C62" s="19">
        <v>0.03</v>
      </c>
      <c r="D62" s="2">
        <f>IF($B$59&lt;B62,0,IF($B$59&lt;B63,$A$2*C62,0))</f>
        <v>0</v>
      </c>
      <c r="E62" s="2"/>
      <c r="F62" s="22"/>
      <c r="G62" s="14"/>
      <c r="H62" s="14"/>
      <c r="I62" s="2"/>
      <c r="J62" s="2"/>
      <c r="K62" s="2"/>
      <c r="L62" s="2"/>
      <c r="M62" s="20"/>
      <c r="N62" s="2"/>
      <c r="O62" s="22"/>
    </row>
    <row r="63" spans="1:15" x14ac:dyDescent="0.15">
      <c r="A63" s="8" t="s">
        <v>54</v>
      </c>
      <c r="B63" s="2">
        <v>1750</v>
      </c>
      <c r="C63" s="19">
        <v>0.04</v>
      </c>
      <c r="D63" s="2">
        <f>IF($B$59&lt;B63,0,$A$2*C63)</f>
        <v>0</v>
      </c>
      <c r="E63" s="2"/>
      <c r="F63" s="22"/>
      <c r="G63" s="14"/>
      <c r="H63" s="14"/>
      <c r="I63" s="2"/>
      <c r="J63" s="2"/>
      <c r="K63" s="2"/>
      <c r="L63" s="2"/>
      <c r="M63" s="20"/>
      <c r="N63" s="2"/>
      <c r="O63" s="22"/>
    </row>
    <row r="64" spans="1:15" x14ac:dyDescent="0.15">
      <c r="A64" s="8"/>
      <c r="B64" s="2"/>
      <c r="C64" s="2"/>
      <c r="D64" s="20"/>
      <c r="E64" s="2"/>
      <c r="F64" s="22"/>
      <c r="G64" s="14"/>
      <c r="H64" s="14"/>
      <c r="I64" s="2"/>
      <c r="J64" s="2"/>
      <c r="K64" s="2"/>
      <c r="L64" s="2"/>
      <c r="M64" s="20"/>
      <c r="N64" s="2"/>
      <c r="O64" s="22"/>
    </row>
    <row r="65" spans="1:15" ht="15" x14ac:dyDescent="0.15">
      <c r="A65" s="9" t="s">
        <v>73</v>
      </c>
      <c r="B65" s="2"/>
      <c r="C65" s="2"/>
      <c r="D65" s="30">
        <f ca="1">(1/(1+B66))^(B68-B67)</f>
        <v>1</v>
      </c>
      <c r="E65" s="2"/>
      <c r="F65" s="22"/>
      <c r="G65" s="14"/>
      <c r="H65" s="14"/>
      <c r="I65" s="2"/>
      <c r="J65" s="2"/>
      <c r="K65" s="2"/>
      <c r="L65" s="2"/>
      <c r="M65" s="20"/>
      <c r="N65" s="2"/>
      <c r="O65" s="22"/>
    </row>
    <row r="66" spans="1:15" x14ac:dyDescent="0.15">
      <c r="A66" s="8" t="s">
        <v>74</v>
      </c>
      <c r="B66" s="208">
        <f>'1'!E16</f>
        <v>0</v>
      </c>
      <c r="C66" s="2"/>
      <c r="D66" s="20"/>
      <c r="E66" s="2"/>
      <c r="F66" s="22"/>
      <c r="G66" s="14"/>
      <c r="H66" s="14"/>
      <c r="I66" s="2"/>
      <c r="J66" s="2"/>
      <c r="K66" s="2"/>
      <c r="L66" s="2"/>
      <c r="M66" s="20"/>
      <c r="N66" s="2"/>
      <c r="O66" s="22"/>
    </row>
    <row r="67" spans="1:15" x14ac:dyDescent="0.15">
      <c r="A67" s="8" t="s">
        <v>75</v>
      </c>
      <c r="B67" s="204">
        <f ca="1">YEARFRAC(A4,C67)</f>
        <v>25.255555555555556</v>
      </c>
      <c r="C67" s="43">
        <f ca="1">TODAY()</f>
        <v>45750</v>
      </c>
      <c r="D67" s="20"/>
      <c r="E67" s="2"/>
      <c r="F67" s="22"/>
      <c r="G67" s="14"/>
      <c r="H67" s="14"/>
      <c r="I67" s="2"/>
      <c r="J67" s="2"/>
      <c r="K67" s="2"/>
      <c r="L67" s="2"/>
      <c r="M67" s="20"/>
      <c r="N67" s="2"/>
      <c r="O67" s="22"/>
    </row>
    <row r="68" spans="1:15" x14ac:dyDescent="0.15">
      <c r="A68" s="8" t="s">
        <v>76</v>
      </c>
      <c r="B68" s="209">
        <f>'1'!E19</f>
        <v>70</v>
      </c>
      <c r="C68" s="2"/>
      <c r="D68" s="20"/>
      <c r="E68" s="2"/>
      <c r="F68" s="22"/>
      <c r="G68" s="14"/>
      <c r="H68" s="14"/>
      <c r="I68" s="2"/>
      <c r="J68" s="2"/>
      <c r="K68" s="2"/>
      <c r="L68" s="2"/>
      <c r="M68" s="20"/>
      <c r="N68" s="2"/>
      <c r="O68" s="22"/>
    </row>
    <row r="69" spans="1:15" x14ac:dyDescent="0.15">
      <c r="A69" s="8"/>
      <c r="B69" s="2"/>
      <c r="C69" s="2"/>
      <c r="D69" s="20"/>
      <c r="E69" s="2"/>
      <c r="F69" s="22"/>
      <c r="G69" s="14"/>
      <c r="H69" s="14"/>
      <c r="I69" s="2"/>
      <c r="J69" s="2"/>
      <c r="K69" s="2"/>
      <c r="L69" s="2"/>
      <c r="M69" s="20"/>
      <c r="N69" s="2"/>
      <c r="O69" s="22"/>
    </row>
    <row r="70" spans="1:15" ht="15" x14ac:dyDescent="0.15">
      <c r="A70" s="31" t="s">
        <v>77</v>
      </c>
      <c r="B70" s="2"/>
      <c r="C70" s="2"/>
      <c r="D70" s="2"/>
      <c r="E70" s="2"/>
      <c r="F70" s="2"/>
      <c r="G70" s="32"/>
      <c r="H70" s="32"/>
      <c r="I70" s="2"/>
      <c r="J70" s="2"/>
      <c r="K70" s="2"/>
      <c r="L70" s="2"/>
      <c r="M70" s="2"/>
      <c r="N70" s="2"/>
      <c r="O70" s="2"/>
    </row>
    <row r="71" spans="1:15" x14ac:dyDescent="0.15">
      <c r="A71" s="8"/>
      <c r="B71" s="2"/>
      <c r="C71" s="2"/>
      <c r="D71" s="2"/>
      <c r="E71" s="2"/>
      <c r="F71" s="2"/>
      <c r="G71" s="2"/>
      <c r="H71" s="2"/>
      <c r="I71" s="2"/>
      <c r="J71" s="2"/>
      <c r="K71" s="2"/>
      <c r="L71" s="2"/>
      <c r="M71" s="2"/>
      <c r="N71" s="2"/>
      <c r="O71" s="2"/>
    </row>
    <row r="72" spans="1:15" x14ac:dyDescent="0.15">
      <c r="A72" s="9" t="s">
        <v>26</v>
      </c>
      <c r="B72" s="10"/>
      <c r="C72" s="10"/>
      <c r="D72" s="10"/>
      <c r="E72" s="11"/>
      <c r="F72" s="11"/>
      <c r="G72" s="2"/>
      <c r="H72" s="10"/>
      <c r="I72" s="10"/>
      <c r="J72" s="10"/>
      <c r="K72" s="10"/>
      <c r="L72" s="10"/>
      <c r="M72" s="10"/>
      <c r="N72" s="11"/>
      <c r="O72" s="11"/>
    </row>
    <row r="73" spans="1:15" x14ac:dyDescent="0.15">
      <c r="A73" s="9"/>
      <c r="B73" s="33">
        <v>2012</v>
      </c>
      <c r="C73" s="33">
        <v>2013</v>
      </c>
      <c r="D73" s="33">
        <v>2014</v>
      </c>
      <c r="E73" s="33">
        <v>2015</v>
      </c>
      <c r="F73" s="33">
        <v>2016</v>
      </c>
      <c r="G73" s="33">
        <v>2017</v>
      </c>
      <c r="H73" s="33">
        <v>2018</v>
      </c>
      <c r="I73" s="33">
        <v>2019</v>
      </c>
      <c r="J73" s="33">
        <v>2020</v>
      </c>
      <c r="K73" s="33">
        <v>2021</v>
      </c>
      <c r="L73" s="33">
        <v>2022</v>
      </c>
      <c r="M73" s="171">
        <v>2023</v>
      </c>
      <c r="N73" s="33">
        <v>2024</v>
      </c>
      <c r="O73" s="33">
        <v>2025</v>
      </c>
    </row>
    <row r="74" spans="1:15" x14ac:dyDescent="0.15">
      <c r="A74" s="8" t="s">
        <v>78</v>
      </c>
      <c r="B74" s="50">
        <v>18945</v>
      </c>
      <c r="C74" s="50">
        <v>19645</v>
      </c>
      <c r="D74" s="50">
        <v>19645</v>
      </c>
      <c r="E74" s="50">
        <v>19822</v>
      </c>
      <c r="F74" s="50">
        <v>19922</v>
      </c>
      <c r="G74" s="50">
        <v>19982</v>
      </c>
      <c r="H74" s="50">
        <v>20142</v>
      </c>
      <c r="I74" s="50">
        <v>20384</v>
      </c>
      <c r="J74" s="50">
        <v>20711</v>
      </c>
      <c r="K74" s="50">
        <v>21043</v>
      </c>
      <c r="L74" s="50">
        <v>21317</v>
      </c>
      <c r="M74" s="172">
        <v>22660</v>
      </c>
      <c r="N74" s="50">
        <v>24821</v>
      </c>
      <c r="O74" s="50">
        <v>26288</v>
      </c>
    </row>
    <row r="75" spans="1:15" x14ac:dyDescent="0.15">
      <c r="A75" s="8"/>
      <c r="B75" s="50">
        <f>IF($A$4&lt;1946-1-1,34055,33863)</f>
        <v>33863</v>
      </c>
      <c r="C75" s="50">
        <f>IF($A$4&lt;1946-1-1,33555,33363)</f>
        <v>33363</v>
      </c>
      <c r="D75" s="50">
        <f>IF($A$4&lt;1946-1-1,33555,33363)</f>
        <v>33363</v>
      </c>
      <c r="E75" s="50">
        <f>IF($A$4&lt;1946-1-1,33857,33589)</f>
        <v>33589</v>
      </c>
      <c r="F75" s="50">
        <f>IF($A$4&lt;1946-1-1,34027,33715)</f>
        <v>33715</v>
      </c>
      <c r="G75" s="50">
        <f>IF($A$4&lt;1946-1-1,34130,33791)</f>
        <v>33791</v>
      </c>
      <c r="H75" s="50">
        <f>IF($A$4&lt;1946-1-1,34404,33994)</f>
        <v>33994</v>
      </c>
      <c r="I75" s="50">
        <f>IF($A$4&lt;1946-1-1,34817,34300)</f>
        <v>34300</v>
      </c>
      <c r="J75" s="50">
        <f>IF($A$4&lt;1946-1-1,35375,34712)</f>
        <v>34712</v>
      </c>
      <c r="K75" s="50">
        <f>IF($A$4&lt;1946-1-1,35941,35129)</f>
        <v>35129</v>
      </c>
      <c r="L75" s="50">
        <f>IF($A$4&lt;1946-1-1,36409,35472)</f>
        <v>35472</v>
      </c>
      <c r="M75" s="172">
        <f>IF($A$4&lt;1946-1-1,38703,37149)</f>
        <v>37149</v>
      </c>
      <c r="N75" s="50">
        <f>IF($A$4&lt;1946-1-1,40021,38098)</f>
        <v>38098</v>
      </c>
      <c r="O75" s="50">
        <v>38441</v>
      </c>
    </row>
    <row r="76" spans="1:15" x14ac:dyDescent="0.15">
      <c r="A76" s="8"/>
      <c r="B76" s="50">
        <v>56491</v>
      </c>
      <c r="C76" s="50">
        <v>55991</v>
      </c>
      <c r="D76" s="50">
        <v>56531</v>
      </c>
      <c r="E76" s="50">
        <v>57585</v>
      </c>
      <c r="F76" s="50">
        <v>66421</v>
      </c>
      <c r="G76" s="50">
        <v>67072</v>
      </c>
      <c r="H76" s="50">
        <v>68507</v>
      </c>
      <c r="I76" s="50">
        <v>68507</v>
      </c>
      <c r="J76" s="50">
        <v>68507</v>
      </c>
      <c r="K76" s="50">
        <v>68507</v>
      </c>
      <c r="L76" s="50">
        <v>69398</v>
      </c>
      <c r="M76" s="172">
        <v>73031</v>
      </c>
      <c r="N76" s="50">
        <v>75518</v>
      </c>
      <c r="O76" s="50">
        <v>76817</v>
      </c>
    </row>
    <row r="77" spans="1:15" x14ac:dyDescent="0.15">
      <c r="A77" s="8"/>
      <c r="B77" s="2"/>
      <c r="C77" s="2"/>
      <c r="D77" s="2"/>
      <c r="E77" s="2"/>
      <c r="F77" s="2"/>
      <c r="G77" s="2"/>
      <c r="H77" s="2"/>
      <c r="I77" s="2"/>
      <c r="J77" s="2"/>
      <c r="K77" s="2"/>
      <c r="L77" s="2"/>
      <c r="M77" s="26"/>
      <c r="N77" s="2"/>
      <c r="O77" s="2"/>
    </row>
    <row r="78" spans="1:15" x14ac:dyDescent="0.15">
      <c r="A78" s="8" t="s">
        <v>79</v>
      </c>
      <c r="B78" s="51">
        <v>17168</v>
      </c>
      <c r="C78" s="43">
        <v>17533</v>
      </c>
      <c r="D78" s="51">
        <v>17868</v>
      </c>
      <c r="E78" s="51">
        <v>18203</v>
      </c>
      <c r="F78" s="51">
        <v>18537</v>
      </c>
      <c r="G78" s="51">
        <v>18810</v>
      </c>
      <c r="H78" s="51">
        <v>19085</v>
      </c>
      <c r="I78" s="51">
        <v>19360</v>
      </c>
      <c r="J78" s="51">
        <v>19603</v>
      </c>
      <c r="K78" s="51">
        <v>19968</v>
      </c>
      <c r="L78" s="51">
        <v>20090</v>
      </c>
      <c r="M78" s="70">
        <v>20607</v>
      </c>
      <c r="N78" s="51">
        <v>20880</v>
      </c>
      <c r="O78" s="51">
        <v>21186</v>
      </c>
    </row>
    <row r="79" spans="1:15" x14ac:dyDescent="0.15">
      <c r="A79" s="8" t="s">
        <v>80</v>
      </c>
      <c r="B79" s="2" t="b">
        <f t="shared" ref="B79:O79" si="0">$A$4&lt;B78</f>
        <v>0</v>
      </c>
      <c r="C79" s="2" t="b">
        <f t="shared" si="0"/>
        <v>0</v>
      </c>
      <c r="D79" s="2" t="b">
        <f t="shared" si="0"/>
        <v>0</v>
      </c>
      <c r="E79" s="2" t="b">
        <f t="shared" si="0"/>
        <v>0</v>
      </c>
      <c r="F79" s="2" t="b">
        <f t="shared" si="0"/>
        <v>0</v>
      </c>
      <c r="G79" s="2" t="b">
        <f t="shared" si="0"/>
        <v>0</v>
      </c>
      <c r="H79" s="2" t="b">
        <f t="shared" si="0"/>
        <v>0</v>
      </c>
      <c r="I79" s="2" t="b">
        <f t="shared" si="0"/>
        <v>0</v>
      </c>
      <c r="J79" s="2" t="b">
        <f t="shared" si="0"/>
        <v>0</v>
      </c>
      <c r="K79" s="2" t="b">
        <f t="shared" si="0"/>
        <v>0</v>
      </c>
      <c r="L79" s="2" t="b">
        <f t="shared" si="0"/>
        <v>0</v>
      </c>
      <c r="M79" s="26" t="b">
        <f t="shared" si="0"/>
        <v>0</v>
      </c>
      <c r="N79" s="2" t="b">
        <f t="shared" si="0"/>
        <v>0</v>
      </c>
      <c r="O79" s="2" t="b">
        <f t="shared" si="0"/>
        <v>0</v>
      </c>
    </row>
    <row r="80" spans="1:15" x14ac:dyDescent="0.15">
      <c r="A80" s="8" t="s">
        <v>81</v>
      </c>
      <c r="B80" s="20">
        <f>IF(B$79=TRUE,15.2%,33.1%)</f>
        <v>0.33100000000000002</v>
      </c>
      <c r="C80" s="20">
        <f>IF(C$79=TRUE,19.1%,37%)</f>
        <v>0.37</v>
      </c>
      <c r="D80" s="20">
        <f>IF(D$79=TRUE,18.35%,36.25%)</f>
        <v>0.36249999999999999</v>
      </c>
      <c r="E80" s="20">
        <f>IF(E$79=TRUE,18.6%,36.5%)</f>
        <v>0.36499999999999999</v>
      </c>
      <c r="F80" s="20">
        <f>IF(F$79=TRUE,18.65%,36.55%)</f>
        <v>0.36549999999999999</v>
      </c>
      <c r="G80" s="20">
        <f>IF(G$79=TRUE,18.65%,36.55%)</f>
        <v>0.36549999999999999</v>
      </c>
      <c r="H80" s="20">
        <f>IF(H$79=TRUE,18.65%,36.55%)</f>
        <v>0.36549999999999999</v>
      </c>
      <c r="I80" s="20">
        <f>IF(I79=TRUE,18.75%,36.65%)</f>
        <v>0.36649999999999999</v>
      </c>
      <c r="J80" s="20">
        <f>IF(J79=TRUE,19.45%,37.35%)</f>
        <v>0.3735</v>
      </c>
      <c r="K80" s="20">
        <f>IF(K79=TRUE,19.2%,37.1%)</f>
        <v>0.371</v>
      </c>
      <c r="L80" s="20">
        <f>IF(L79=TRUE,19.17%,37.07%)</f>
        <v>0.37070000000000003</v>
      </c>
      <c r="M80" s="173">
        <f>IF(M79=TRUE,19.03%,36.93%)</f>
        <v>0.36930000000000002</v>
      </c>
      <c r="N80" s="20">
        <v>0.36969999999999997</v>
      </c>
      <c r="O80" s="20">
        <v>0.35820000000000002</v>
      </c>
    </row>
    <row r="81" spans="1:15" x14ac:dyDescent="0.15">
      <c r="A81" s="8" t="s">
        <v>82</v>
      </c>
      <c r="B81" s="20">
        <f>IF(B$79=TRUE,24.05%,41.95%)</f>
        <v>0.41950000000000004</v>
      </c>
      <c r="C81" s="20">
        <f>IF(C$79=TRUE,24.1%,42%)</f>
        <v>0.42</v>
      </c>
      <c r="D81" s="20">
        <f>IF(D$79=TRUE,24.1%,42%)</f>
        <v>0.42</v>
      </c>
      <c r="E81" s="20">
        <f>IF(E$79=TRUE,24.1%,42%)</f>
        <v>0.42</v>
      </c>
      <c r="F81" s="20">
        <f>IF(F$79=TRUE,22.5%,40.4%)</f>
        <v>0.40399999999999997</v>
      </c>
      <c r="G81" s="20">
        <f>IF(G$79=TRUE,22.9%,40.8%)</f>
        <v>0.40799999999999997</v>
      </c>
      <c r="H81" s="20">
        <f>IF(H$79=TRUE,22.95%,40.85%)</f>
        <v>0.40850000000000003</v>
      </c>
      <c r="I81" s="20">
        <f>IF(I79=TRUE,20.2%,38.1%)</f>
        <v>0.38100000000000001</v>
      </c>
      <c r="J81" s="20">
        <f>IF(J79=TRUE,19.45%,37.35%)</f>
        <v>0.3735</v>
      </c>
      <c r="K81" s="20">
        <f>IF(K79=TRUE,19.2%,37.1%)</f>
        <v>0.371</v>
      </c>
      <c r="L81" s="20">
        <f>IF(L79=TRUE,19.17%,37.07%)</f>
        <v>0.37070000000000003</v>
      </c>
      <c r="M81" s="173">
        <f>IF(M80=TRUE,19.03%,36.93%)</f>
        <v>0.36930000000000002</v>
      </c>
      <c r="N81" s="20">
        <v>0.36969999999999997</v>
      </c>
      <c r="O81" s="20">
        <v>0.35820000000000002</v>
      </c>
    </row>
    <row r="82" spans="1:15" x14ac:dyDescent="0.15">
      <c r="A82" s="8" t="s">
        <v>83</v>
      </c>
      <c r="B82" s="20">
        <v>0.42</v>
      </c>
      <c r="C82" s="20">
        <v>0.42</v>
      </c>
      <c r="D82" s="20">
        <v>0.42</v>
      </c>
      <c r="E82" s="20">
        <v>0.42</v>
      </c>
      <c r="F82" s="20">
        <v>0.40400000000000003</v>
      </c>
      <c r="G82" s="20">
        <v>0.40799999999999997</v>
      </c>
      <c r="H82" s="20">
        <v>0.40849999999999997</v>
      </c>
      <c r="I82" s="20">
        <v>0.38100000000000001</v>
      </c>
      <c r="J82" s="20">
        <v>0.3735</v>
      </c>
      <c r="K82" s="20">
        <v>0.371</v>
      </c>
      <c r="L82" s="20">
        <v>0.37069999999999997</v>
      </c>
      <c r="M82" s="173">
        <v>0.36930000000000002</v>
      </c>
      <c r="N82" s="20">
        <v>0.36969999999999997</v>
      </c>
      <c r="O82" s="20">
        <v>0.37480000000000002</v>
      </c>
    </row>
    <row r="83" spans="1:15" x14ac:dyDescent="0.15">
      <c r="A83" s="8" t="s">
        <v>84</v>
      </c>
      <c r="B83" s="20">
        <v>0.52</v>
      </c>
      <c r="C83" s="20">
        <v>0.52</v>
      </c>
      <c r="D83" s="20">
        <v>0.52</v>
      </c>
      <c r="E83" s="20">
        <v>0.52</v>
      </c>
      <c r="F83" s="20">
        <v>0.52</v>
      </c>
      <c r="G83" s="20">
        <v>0.52</v>
      </c>
      <c r="H83" s="20">
        <v>0.51949999999999996</v>
      </c>
      <c r="I83" s="20">
        <v>0.51749999999999996</v>
      </c>
      <c r="J83" s="20">
        <v>0.495</v>
      </c>
      <c r="K83" s="20">
        <v>0.495</v>
      </c>
      <c r="L83" s="20">
        <v>0.495</v>
      </c>
      <c r="M83" s="173">
        <v>0.495</v>
      </c>
      <c r="N83" s="52">
        <v>0.495</v>
      </c>
      <c r="O83" s="20">
        <v>0.495</v>
      </c>
    </row>
    <row r="84" spans="1:15" x14ac:dyDescent="0.15">
      <c r="A84" s="8"/>
      <c r="B84" s="2"/>
      <c r="C84" s="2"/>
      <c r="D84" s="2"/>
      <c r="E84" s="2"/>
      <c r="F84" s="2"/>
      <c r="G84" s="2"/>
      <c r="H84" s="2"/>
      <c r="I84" s="2"/>
      <c r="J84" s="2"/>
      <c r="K84" s="2"/>
      <c r="L84" s="2"/>
      <c r="M84" s="26"/>
      <c r="N84" s="2"/>
      <c r="O84" s="2"/>
    </row>
    <row r="85" spans="1:15" x14ac:dyDescent="0.15">
      <c r="A85" s="8" t="s">
        <v>55</v>
      </c>
      <c r="B85" s="19">
        <v>0.25</v>
      </c>
      <c r="C85" s="19">
        <v>0.25</v>
      </c>
      <c r="D85" s="19">
        <v>0.22</v>
      </c>
      <c r="E85" s="19">
        <v>0.25</v>
      </c>
      <c r="F85" s="19">
        <v>0.25</v>
      </c>
      <c r="G85" s="19">
        <v>0.25</v>
      </c>
      <c r="H85" s="19">
        <v>0.25</v>
      </c>
      <c r="I85" s="19">
        <v>0.25</v>
      </c>
      <c r="J85" s="20">
        <v>0.26250000000000001</v>
      </c>
      <c r="K85" s="20">
        <v>0.26900000000000002</v>
      </c>
      <c r="L85" s="20">
        <v>0.26900000000000002</v>
      </c>
      <c r="M85" s="173">
        <v>0.26900000000000002</v>
      </c>
      <c r="N85" s="19">
        <v>0.33</v>
      </c>
      <c r="O85" s="19">
        <v>0.31</v>
      </c>
    </row>
    <row r="86" spans="1:15" x14ac:dyDescent="0.15">
      <c r="A86" s="8"/>
      <c r="B86" s="2"/>
      <c r="C86" s="2"/>
      <c r="D86" s="2"/>
      <c r="E86" s="2"/>
      <c r="F86" s="2"/>
      <c r="G86" s="2"/>
      <c r="H86" s="2"/>
      <c r="I86" s="2"/>
      <c r="J86" s="2"/>
      <c r="K86" s="2"/>
      <c r="L86" s="2"/>
      <c r="M86" s="26"/>
      <c r="N86" s="2"/>
      <c r="O86" s="2"/>
    </row>
    <row r="87" spans="1:15" x14ac:dyDescent="0.15">
      <c r="A87" s="9" t="s">
        <v>8</v>
      </c>
      <c r="B87" s="33">
        <v>2012</v>
      </c>
      <c r="C87" s="33">
        <v>2013</v>
      </c>
      <c r="D87" s="33">
        <v>2014</v>
      </c>
      <c r="E87" s="33">
        <v>2015</v>
      </c>
      <c r="F87" s="33">
        <v>2016</v>
      </c>
      <c r="G87" s="33">
        <v>2017</v>
      </c>
      <c r="H87" s="33">
        <v>2018</v>
      </c>
      <c r="I87" s="33">
        <v>2019</v>
      </c>
      <c r="J87" s="33">
        <v>2020</v>
      </c>
      <c r="K87" s="33">
        <v>2021</v>
      </c>
      <c r="L87" s="33">
        <v>2022</v>
      </c>
      <c r="M87" s="171">
        <v>2023</v>
      </c>
      <c r="N87" s="33">
        <v>2024</v>
      </c>
      <c r="O87" s="33">
        <v>2025</v>
      </c>
    </row>
    <row r="88" spans="1:15" x14ac:dyDescent="0.15">
      <c r="A88" s="8" t="s">
        <v>85</v>
      </c>
      <c r="B88" s="2">
        <v>200000</v>
      </c>
      <c r="C88" s="2">
        <v>200000</v>
      </c>
      <c r="D88" s="2">
        <v>200000</v>
      </c>
      <c r="E88" s="2">
        <v>200000</v>
      </c>
      <c r="F88" s="2">
        <v>200000</v>
      </c>
      <c r="G88" s="2">
        <v>200000</v>
      </c>
      <c r="H88" s="2">
        <v>200000</v>
      </c>
      <c r="I88" s="2">
        <v>200000</v>
      </c>
      <c r="J88" s="2">
        <v>200000</v>
      </c>
      <c r="K88" s="2">
        <v>245000</v>
      </c>
      <c r="L88" s="2">
        <v>395000</v>
      </c>
      <c r="M88" s="26">
        <v>200000</v>
      </c>
      <c r="N88" s="2">
        <v>200000</v>
      </c>
      <c r="O88" s="2">
        <v>200000</v>
      </c>
    </row>
    <row r="89" spans="1:15" x14ac:dyDescent="0.15">
      <c r="A89" s="8" t="s">
        <v>86</v>
      </c>
      <c r="B89" s="19">
        <v>0.2</v>
      </c>
      <c r="C89" s="19">
        <v>0.2</v>
      </c>
      <c r="D89" s="19">
        <v>0.2</v>
      </c>
      <c r="E89" s="19">
        <v>0.2</v>
      </c>
      <c r="F89" s="19">
        <v>0.2</v>
      </c>
      <c r="G89" s="19">
        <v>0.2</v>
      </c>
      <c r="H89" s="19">
        <v>0.2</v>
      </c>
      <c r="I89" s="53">
        <v>0.19</v>
      </c>
      <c r="J89" s="53">
        <v>0.16500000000000001</v>
      </c>
      <c r="K89" s="53">
        <v>0.15</v>
      </c>
      <c r="L89" s="19">
        <v>0.15</v>
      </c>
      <c r="M89" s="174">
        <v>0.19</v>
      </c>
      <c r="N89" s="19">
        <v>0.19</v>
      </c>
      <c r="O89" s="19">
        <v>0.19</v>
      </c>
    </row>
    <row r="90" spans="1:15" x14ac:dyDescent="0.15">
      <c r="A90" s="8" t="s">
        <v>87</v>
      </c>
      <c r="B90" s="19">
        <v>0.25</v>
      </c>
      <c r="C90" s="19">
        <v>0.25</v>
      </c>
      <c r="D90" s="19">
        <v>0.25</v>
      </c>
      <c r="E90" s="19">
        <v>0.25</v>
      </c>
      <c r="F90" s="19">
        <v>0.25</v>
      </c>
      <c r="G90" s="19">
        <v>0.25</v>
      </c>
      <c r="H90" s="19">
        <v>0.25</v>
      </c>
      <c r="I90" s="53">
        <v>0.25</v>
      </c>
      <c r="J90" s="53">
        <v>0.25</v>
      </c>
      <c r="K90" s="53">
        <v>0.25</v>
      </c>
      <c r="L90" s="19">
        <v>0.25800000000000001</v>
      </c>
      <c r="M90" s="175">
        <v>0.25800000000000001</v>
      </c>
      <c r="N90" s="53">
        <v>0.25800000000000001</v>
      </c>
      <c r="O90" s="20">
        <v>0.25800000000000001</v>
      </c>
    </row>
    <row r="91" spans="1:15" x14ac:dyDescent="0.15">
      <c r="A91" s="8"/>
      <c r="B91" s="2"/>
      <c r="C91" s="2"/>
      <c r="D91" s="2"/>
      <c r="E91" s="2"/>
      <c r="F91" s="2"/>
      <c r="G91" s="2"/>
      <c r="H91" s="2"/>
      <c r="I91" s="2"/>
      <c r="J91" s="2"/>
      <c r="K91" s="2"/>
      <c r="L91" s="2"/>
      <c r="M91" s="26"/>
      <c r="N91" s="2"/>
      <c r="O91" s="2"/>
    </row>
    <row r="92" spans="1:15" x14ac:dyDescent="0.15">
      <c r="A92" s="9" t="s">
        <v>88</v>
      </c>
      <c r="B92" s="54">
        <f>IF(B$79=TRUE,934,2001)</f>
        <v>2001</v>
      </c>
      <c r="C92" s="54">
        <f>IF(C$79=TRUE,1034,2033)</f>
        <v>2033</v>
      </c>
      <c r="D92" s="54">
        <f>IF(D$79=TRUE,1065,2103)</f>
        <v>2103</v>
      </c>
      <c r="E92" s="54">
        <f>IF(E$79=TRUE,1123,2203)</f>
        <v>2203</v>
      </c>
      <c r="F92" s="54">
        <f>IF(F$79=TRUE,1145,2242)</f>
        <v>2242</v>
      </c>
      <c r="G92" s="54">
        <f>IF(G$79=TRUE,1151,2254)</f>
        <v>2254</v>
      </c>
      <c r="H92" s="54">
        <f>IF(H$79=TRUE,1157,2265)</f>
        <v>2265</v>
      </c>
      <c r="I92" s="54">
        <f>IF(I79=TRUE,1268,2477)</f>
        <v>2477</v>
      </c>
      <c r="J92" s="54">
        <f>IF(J79=TRUE,1413,2711)</f>
        <v>2711</v>
      </c>
      <c r="K92" s="54">
        <f>IF(K79=TRUE,1453,2837)</f>
        <v>2837</v>
      </c>
      <c r="L92" s="54">
        <f>IF(L79=TRUE,1494,2888)</f>
        <v>2888</v>
      </c>
      <c r="M92" s="176">
        <f>IF(M79=TRUE,1588,3070)</f>
        <v>3070</v>
      </c>
      <c r="N92" s="55">
        <f>IF(N79=TRUE,1735,3362)</f>
        <v>3362</v>
      </c>
      <c r="O92" s="55">
        <v>3068</v>
      </c>
    </row>
    <row r="93" spans="1:15" x14ac:dyDescent="0.15">
      <c r="A93" s="8" t="s">
        <v>89</v>
      </c>
      <c r="B93" s="56">
        <v>0</v>
      </c>
      <c r="C93" s="56">
        <v>0</v>
      </c>
      <c r="D93" s="57">
        <f>IF(D$79=TRUE,2%,2%)</f>
        <v>0.02</v>
      </c>
      <c r="E93" s="57">
        <f>IF(E$79=TRUE,1.183%,2.32%)</f>
        <v>2.3199999999999998E-2</v>
      </c>
      <c r="F93" s="57">
        <f>IF(F$79=TRUE,2.46%,4.822%)</f>
        <v>4.8219999999999999E-2</v>
      </c>
      <c r="G93" s="57">
        <f>IF(G$79=TRUE,2.443%,4.787%)</f>
        <v>4.7869999999999996E-2</v>
      </c>
      <c r="H93" s="57">
        <f>IF(H$79=TRUE,2.389%,4.683%)</f>
        <v>4.6829999999999997E-2</v>
      </c>
      <c r="I93" s="57">
        <f>IF(I79=TRUE,2.633%,5.147%)</f>
        <v>5.1470000000000002E-2</v>
      </c>
      <c r="J93" s="57">
        <f>IF(J79=TRUE,2.954%,5.672%)</f>
        <v>5.672E-2</v>
      </c>
      <c r="K93" s="57">
        <f>IF(K79=TRUE,3.093%,5.977%)</f>
        <v>5.9770000000000004E-2</v>
      </c>
      <c r="L93" s="57">
        <f>IF(L79=TRUE,3.106%,6.007%)</f>
        <v>6.0069999999999998E-2</v>
      </c>
      <c r="M93" s="177">
        <f>IF(M79=TRUE,3.141%,6.095%)</f>
        <v>6.0949999999999997E-2</v>
      </c>
      <c r="N93" s="56">
        <v>6.6299999999999998E-2</v>
      </c>
      <c r="O93" s="20">
        <v>6.3369999999999996E-2</v>
      </c>
    </row>
    <row r="94" spans="1:15" x14ac:dyDescent="0.15">
      <c r="A94" s="8" t="s">
        <v>90</v>
      </c>
      <c r="B94" s="58">
        <f>B92</f>
        <v>2001</v>
      </c>
      <c r="C94" s="58">
        <f>C92</f>
        <v>2033</v>
      </c>
      <c r="D94" s="59">
        <f>IF(D$79=TRUE,693,1366)</f>
        <v>1366</v>
      </c>
      <c r="E94" s="59">
        <f>IF(E$79=TRUE,685,1342)</f>
        <v>1342</v>
      </c>
      <c r="F94" s="59">
        <v>0</v>
      </c>
      <c r="G94" s="59">
        <v>0</v>
      </c>
      <c r="H94" s="59">
        <v>0</v>
      </c>
      <c r="I94" s="59">
        <v>0</v>
      </c>
      <c r="J94" s="59">
        <v>0</v>
      </c>
      <c r="K94" s="59">
        <v>0</v>
      </c>
      <c r="L94" s="58">
        <v>0</v>
      </c>
      <c r="M94" s="178">
        <v>0</v>
      </c>
      <c r="N94" s="58">
        <v>0</v>
      </c>
      <c r="O94" s="58">
        <v>0</v>
      </c>
    </row>
    <row r="95" spans="1:15" x14ac:dyDescent="0.15">
      <c r="A95" s="8"/>
      <c r="B95" s="20"/>
      <c r="C95" s="2"/>
      <c r="D95" s="22"/>
      <c r="E95" s="14"/>
      <c r="F95" s="14"/>
      <c r="G95" s="2"/>
      <c r="H95" s="2"/>
      <c r="I95" s="2"/>
      <c r="J95" s="2"/>
      <c r="K95" s="20"/>
      <c r="L95" s="2"/>
      <c r="M95" s="179"/>
      <c r="N95" s="14"/>
      <c r="O95" s="14"/>
    </row>
    <row r="96" spans="1:15" x14ac:dyDescent="0.15">
      <c r="A96" s="9" t="s">
        <v>41</v>
      </c>
      <c r="B96" s="33">
        <v>2012</v>
      </c>
      <c r="C96" s="33">
        <v>2013</v>
      </c>
      <c r="D96" s="33">
        <v>2014</v>
      </c>
      <c r="E96" s="33">
        <v>2015</v>
      </c>
      <c r="F96" s="33">
        <v>2016</v>
      </c>
      <c r="G96" s="33">
        <v>2017</v>
      </c>
      <c r="H96" s="33">
        <v>2018</v>
      </c>
      <c r="I96" s="33">
        <v>2019</v>
      </c>
      <c r="J96" s="33">
        <v>2020</v>
      </c>
      <c r="K96" s="33">
        <v>2021</v>
      </c>
      <c r="L96" s="33">
        <v>2022</v>
      </c>
      <c r="M96" s="171">
        <v>2023</v>
      </c>
      <c r="N96" s="33">
        <v>2024</v>
      </c>
      <c r="O96" s="33">
        <v>2025</v>
      </c>
    </row>
    <row r="97" spans="1:15" x14ac:dyDescent="0.15">
      <c r="A97" s="8" t="s">
        <v>51</v>
      </c>
      <c r="B97" s="58">
        <v>9295</v>
      </c>
      <c r="C97" s="58">
        <v>8816</v>
      </c>
      <c r="D97" s="58">
        <v>8913</v>
      </c>
      <c r="E97" s="60">
        <v>9010</v>
      </c>
      <c r="F97" s="60">
        <v>9147</v>
      </c>
      <c r="G97" s="58">
        <v>9309</v>
      </c>
      <c r="H97" s="58">
        <v>9468</v>
      </c>
      <c r="I97" s="58">
        <v>9694</v>
      </c>
      <c r="J97" s="58">
        <v>9921</v>
      </c>
      <c r="K97" s="58">
        <v>10108</v>
      </c>
      <c r="L97" s="58">
        <v>10350</v>
      </c>
      <c r="M97" s="178">
        <v>10740</v>
      </c>
      <c r="N97" s="60">
        <v>11491</v>
      </c>
      <c r="O97" s="60">
        <v>12169</v>
      </c>
    </row>
    <row r="98" spans="1:15" x14ac:dyDescent="0.15">
      <c r="A98" s="8" t="s">
        <v>52</v>
      </c>
      <c r="B98" s="58">
        <v>21059</v>
      </c>
      <c r="C98" s="58">
        <v>18502</v>
      </c>
      <c r="D98" s="58">
        <v>19248</v>
      </c>
      <c r="E98" s="58">
        <v>19463</v>
      </c>
      <c r="F98" s="58">
        <v>19758</v>
      </c>
      <c r="G98" s="58">
        <v>20108</v>
      </c>
      <c r="H98" s="58">
        <v>20450</v>
      </c>
      <c r="I98" s="58">
        <v>20940</v>
      </c>
      <c r="J98" s="58">
        <v>21430</v>
      </c>
      <c r="K98" s="58">
        <v>21835</v>
      </c>
      <c r="L98" s="58">
        <v>22356</v>
      </c>
      <c r="M98" s="178">
        <v>23201</v>
      </c>
      <c r="N98" s="58">
        <f>N74</f>
        <v>24821</v>
      </c>
      <c r="O98" s="58">
        <f t="shared" ref="O98" si="1">O74</f>
        <v>26288</v>
      </c>
    </row>
    <row r="99" spans="1:15" x14ac:dyDescent="0.15">
      <c r="A99" s="8" t="s">
        <v>53</v>
      </c>
      <c r="B99" s="54">
        <v>45181</v>
      </c>
      <c r="C99" s="54">
        <v>40248</v>
      </c>
      <c r="D99" s="54">
        <v>40721</v>
      </c>
      <c r="E99" s="55">
        <v>49770</v>
      </c>
      <c r="F99" s="55">
        <v>34015</v>
      </c>
      <c r="G99" s="58">
        <v>32444</v>
      </c>
      <c r="H99" s="54">
        <v>33112</v>
      </c>
      <c r="I99" s="54">
        <v>34060</v>
      </c>
      <c r="J99" s="54">
        <v>34954</v>
      </c>
      <c r="K99" s="54">
        <v>35652</v>
      </c>
      <c r="L99" s="54">
        <v>36649</v>
      </c>
      <c r="M99" s="176">
        <v>37691</v>
      </c>
      <c r="N99" s="60">
        <v>39958</v>
      </c>
      <c r="O99" s="60">
        <v>43071</v>
      </c>
    </row>
    <row r="100" spans="1:15" x14ac:dyDescent="0.15">
      <c r="A100" s="8" t="s">
        <v>54</v>
      </c>
      <c r="B100" s="58">
        <v>514.17999999999995</v>
      </c>
      <c r="C100" s="58">
        <v>69573</v>
      </c>
      <c r="D100" s="58">
        <v>83971</v>
      </c>
      <c r="E100" s="58">
        <v>100670</v>
      </c>
      <c r="F100" s="58">
        <v>111590</v>
      </c>
      <c r="G100" s="58">
        <v>121972</v>
      </c>
      <c r="H100" s="58">
        <v>123362</v>
      </c>
      <c r="I100" s="58">
        <v>90710</v>
      </c>
      <c r="J100" s="58">
        <f>(J107/J105)+J99</f>
        <v>98604</v>
      </c>
      <c r="K100" s="58">
        <f>(K107/K105)+K99</f>
        <v>105735.33333333334</v>
      </c>
      <c r="L100" s="58">
        <f>(L107/L105)+L99</f>
        <v>109345.24573378838</v>
      </c>
      <c r="M100" s="178">
        <f>(M107/M105)+M99</f>
        <v>115294.68663594472</v>
      </c>
      <c r="N100" s="58">
        <v>124935</v>
      </c>
      <c r="O100" s="58">
        <v>129078</v>
      </c>
    </row>
    <row r="101" spans="1:15" x14ac:dyDescent="0.15">
      <c r="A101" s="8"/>
      <c r="B101" s="2"/>
      <c r="C101" s="2"/>
      <c r="D101" s="20"/>
      <c r="E101" s="2"/>
      <c r="F101" s="22"/>
      <c r="G101" s="14"/>
      <c r="H101" s="14"/>
      <c r="I101" s="2"/>
      <c r="J101" s="2"/>
      <c r="K101" s="2"/>
      <c r="L101" s="2"/>
      <c r="M101" s="26"/>
      <c r="N101" s="2"/>
      <c r="O101" s="22"/>
    </row>
    <row r="102" spans="1:15" x14ac:dyDescent="0.15">
      <c r="A102" s="8" t="s">
        <v>81</v>
      </c>
      <c r="B102" s="2">
        <f>IF(B$79=TRUE,0.796%,1.733%)</f>
        <v>1.7330000000000002E-2</v>
      </c>
      <c r="C102" s="2">
        <f>IF(C$79=TRUE,0.943%,1.827%)</f>
        <v>1.8269999999999998E-2</v>
      </c>
      <c r="D102" s="2">
        <f>IF(D$79=TRUE,0.915%,1.807%)</f>
        <v>1.8069999999999999E-2</v>
      </c>
      <c r="E102" s="2">
        <f>IF(E$79=TRUE,0.922%,1.81%)</f>
        <v>1.8100000000000002E-2</v>
      </c>
      <c r="F102" s="2">
        <f>IF(F$79=TRUE,0.915%,1.793%)</f>
        <v>1.7929999999999998E-2</v>
      </c>
      <c r="G102" s="2">
        <f>IF(G$79=TRUE,0.904%,1.772%)</f>
        <v>1.772E-2</v>
      </c>
      <c r="H102" s="2">
        <f>IF(H$79=TRUE,0.901%,1.764%)</f>
        <v>1.7639999999999999E-2</v>
      </c>
      <c r="I102" s="2">
        <f>IF(I79=TRUE,0.898%,1.754%)</f>
        <v>1.754E-2</v>
      </c>
      <c r="J102" s="2">
        <f>IF(J79=TRUE,1.464%,2.812%)</f>
        <v>2.8119999999999999E-2</v>
      </c>
      <c r="K102" s="2">
        <f>IF(K79=TRUE,2.371%,4.581%)</f>
        <v>4.5810000000000003E-2</v>
      </c>
      <c r="L102" s="2">
        <f>IF(L79=TRUE,2.348%,4.541%)</f>
        <v>4.5410000000000006E-2</v>
      </c>
      <c r="M102" s="26">
        <f>IF(M79=TRUE,4.241%,8.231%)</f>
        <v>8.2309999999999994E-2</v>
      </c>
      <c r="N102" s="2">
        <f>IF(N79=TRUE,4.346%,8.425%)</f>
        <v>8.4250000000000005E-2</v>
      </c>
      <c r="O102" s="211">
        <v>8.0530000000000004E-2</v>
      </c>
    </row>
    <row r="103" spans="1:15" x14ac:dyDescent="0.15">
      <c r="A103" s="8" t="s">
        <v>82</v>
      </c>
      <c r="B103" s="2">
        <f>IF(B$79=TRUE,5.657%,12.32%)</f>
        <v>0.1232</v>
      </c>
      <c r="C103" s="2">
        <f>IF(C$79=TRUE,8.319%,16.115%)</f>
        <v>0.16114999999999999</v>
      </c>
      <c r="D103" s="2">
        <f>IF(D$79=TRUE,9.479%,18.724%)</f>
        <v>0.18723999999999999</v>
      </c>
      <c r="E103" s="2">
        <f>IF(E$79=TRUE,10.028%,19.679%)</f>
        <v>0.19678999999999999</v>
      </c>
      <c r="F103" s="2">
        <f>IF(F$79=TRUE,14.133%,27.698%)</f>
        <v>0.27698</v>
      </c>
      <c r="G103" s="2">
        <f>IF(G$79=TRUE,14.449%,28.317%)</f>
        <v>0.28316999999999998</v>
      </c>
      <c r="H103" s="2">
        <f>IF(H$79=TRUE,14.32%,28.064%)</f>
        <v>0.28064</v>
      </c>
      <c r="I103" s="2">
        <f>IF(I79=TRUE,14.689%,28.712%)</f>
        <v>0.28711999999999999</v>
      </c>
      <c r="J103" s="2">
        <f>IF(J79=TRUE,15.004%,28.812%)</f>
        <v>0.28811999999999999</v>
      </c>
      <c r="K103" s="2">
        <f>IF(K79=TRUE,14.89%,28.771%)</f>
        <v>0.28771000000000002</v>
      </c>
      <c r="L103" s="2">
        <f>IF(L79=TRUE,14.718%,28.461%)</f>
        <v>0.28460999999999997</v>
      </c>
      <c r="M103" s="26">
        <f>IF(M79=TRUE,15.388%,29.861%)</f>
        <v>0.29860999999999999</v>
      </c>
      <c r="N103" s="2">
        <f>IF(N79=TRUE,16.214%,31.433%)</f>
        <v>0.31433</v>
      </c>
      <c r="O103" s="211">
        <v>0.30030000000000001</v>
      </c>
    </row>
    <row r="104" spans="1:15" x14ac:dyDescent="0.15">
      <c r="A104" s="8" t="s">
        <v>83</v>
      </c>
      <c r="B104" s="2">
        <v>0</v>
      </c>
      <c r="C104" s="2">
        <v>0</v>
      </c>
      <c r="D104" s="2">
        <v>0</v>
      </c>
      <c r="E104" s="2">
        <v>0</v>
      </c>
      <c r="F104" s="2">
        <v>0</v>
      </c>
      <c r="G104" s="2">
        <v>0</v>
      </c>
      <c r="H104" s="2">
        <v>0</v>
      </c>
      <c r="I104" s="2">
        <v>0</v>
      </c>
      <c r="J104" s="2">
        <f>IF(J79=TRUE,0.862%,1.656%)</f>
        <v>1.6559999999999998E-2</v>
      </c>
      <c r="K104" s="2">
        <f>IF(K79=TRUE,1.378%,2.663%)</f>
        <v>2.6629999999999997E-2</v>
      </c>
      <c r="L104" s="2">
        <f>IF(L79=TRUE,1.349%,2.61%)</f>
        <v>2.6099999999999998E-2</v>
      </c>
      <c r="M104" s="26">
        <f>IF(M79=TRUE,1.589%,3.085%)</f>
        <v>3.0849999999999999E-2</v>
      </c>
      <c r="N104" s="2">
        <f>IF(N79=TRUE,1.275%,2.471%)</f>
        <v>2.4709999999999999E-2</v>
      </c>
      <c r="O104" s="2">
        <v>2.2579999999999999E-2</v>
      </c>
    </row>
    <row r="105" spans="1:15" x14ac:dyDescent="0.15">
      <c r="A105" s="8" t="s">
        <v>84</v>
      </c>
      <c r="B105" s="2">
        <f>IF(B$79=TRUE,0.574%,1.25%)</f>
        <v>1.2500000000000001E-2</v>
      </c>
      <c r="C105" s="2">
        <f>IF(C$79=TRUE,2.064%,4%)</f>
        <v>0.04</v>
      </c>
      <c r="D105" s="2">
        <f>IF(D$79=TRUE,2.025%,4%)</f>
        <v>0.04</v>
      </c>
      <c r="E105" s="2">
        <f>IF(E$79=TRUE,2.038%,4%)</f>
        <v>0.04</v>
      </c>
      <c r="F105" s="2">
        <f>IF(F$79=TRUE,2.041%,4%)</f>
        <v>0.04</v>
      </c>
      <c r="G105" s="2">
        <f>IF(G$79=TRUE,1.837%,3.6%)</f>
        <v>3.6000000000000004E-2</v>
      </c>
      <c r="H105" s="2">
        <f>IF(H$79=TRUE,1.837%,3.6%)</f>
        <v>3.6000000000000004E-2</v>
      </c>
      <c r="I105" s="2">
        <f>IF(I79=TRUE,3.069%,6%)</f>
        <v>0.06</v>
      </c>
      <c r="J105" s="2">
        <f>IF(J79=TRUE,3.124%,6%)</f>
        <v>0.06</v>
      </c>
      <c r="K105" s="2">
        <f>IF(K79=TRUE,3.105%,6%)</f>
        <v>0.06</v>
      </c>
      <c r="L105" s="2">
        <f>IF(L79=TRUE,3.03%,5.86%)</f>
        <v>5.8600000000000006E-2</v>
      </c>
      <c r="M105" s="26">
        <f>IF(M79=TRUE,3.355%,6.51%)</f>
        <v>6.5099999999999991E-2</v>
      </c>
      <c r="N105" s="2">
        <f>IF(N79=TRUE,3.358%,6.51%)</f>
        <v>6.5099999999999991E-2</v>
      </c>
      <c r="O105" s="2">
        <v>6.5100000000000005E-2</v>
      </c>
    </row>
    <row r="106" spans="1:15" x14ac:dyDescent="0.15">
      <c r="A106" s="9"/>
      <c r="B106" s="10"/>
      <c r="C106" s="10"/>
      <c r="D106" s="10"/>
      <c r="E106" s="10"/>
      <c r="F106" s="10"/>
      <c r="G106" s="11"/>
      <c r="H106" s="11"/>
      <c r="I106" s="2"/>
      <c r="J106" s="10"/>
      <c r="K106" s="10"/>
      <c r="L106" s="10"/>
      <c r="M106" s="180"/>
      <c r="N106" s="10"/>
      <c r="O106" s="10"/>
    </row>
    <row r="107" spans="1:15" x14ac:dyDescent="0.15">
      <c r="A107" s="8" t="s">
        <v>91</v>
      </c>
      <c r="B107" s="2">
        <f>IF(B$79=TRUE,740,1611)</f>
        <v>1611</v>
      </c>
      <c r="C107" s="2">
        <f>IF(C$79=TRUE,890,1723)</f>
        <v>1723</v>
      </c>
      <c r="D107" s="2">
        <f>IF(D$79=TRUE,1062,2097)</f>
        <v>2097</v>
      </c>
      <c r="E107" s="2">
        <f>IF(E$79=TRUE,1132,2220)</f>
        <v>2220</v>
      </c>
      <c r="F107" s="2">
        <f>IF(F$79=TRUE,1585,3103)</f>
        <v>3103</v>
      </c>
      <c r="G107" s="2">
        <f>IF(G$79=TRUE,1645,3223)</f>
        <v>3223</v>
      </c>
      <c r="H107" s="2">
        <f>IF(H$79=TRUE,1659,3249)</f>
        <v>3249</v>
      </c>
      <c r="I107" s="2">
        <f>IF(I79=TRUE,1745,3399)</f>
        <v>3399</v>
      </c>
      <c r="J107" s="2">
        <f>IF(J79=TRUE,1989,3819)</f>
        <v>3819</v>
      </c>
      <c r="K107" s="2">
        <f>IF(K79=TRUE,2178,4205)</f>
        <v>4205</v>
      </c>
      <c r="L107" s="2">
        <f>IF(L79=TRUE,2204,4260)</f>
        <v>4260</v>
      </c>
      <c r="M107" s="26">
        <f>IF(M79=TRUE,2604,5052)</f>
        <v>5052</v>
      </c>
      <c r="N107" s="2">
        <f>IF(N79=TRUE,2854,5532)</f>
        <v>5532</v>
      </c>
      <c r="O107" s="22">
        <v>5599</v>
      </c>
    </row>
    <row r="108" spans="1:15" x14ac:dyDescent="0.15">
      <c r="A108" s="8" t="s">
        <v>92</v>
      </c>
      <c r="B108" s="2">
        <f>IF(B$79=TRUE,704,740)</f>
        <v>740</v>
      </c>
      <c r="C108" s="2">
        <f>IF(C$79=TRUE,284,550)</f>
        <v>550</v>
      </c>
      <c r="D108" s="2">
        <f>IF(D$79=TRUE,186,367)</f>
        <v>367</v>
      </c>
      <c r="E108" s="2">
        <f>IF(E$79=TRUE,94,184)</f>
        <v>184</v>
      </c>
      <c r="F108" s="2">
        <v>0</v>
      </c>
      <c r="G108" s="2">
        <v>0</v>
      </c>
      <c r="H108" s="2">
        <v>0</v>
      </c>
      <c r="I108" s="2">
        <v>0</v>
      </c>
      <c r="J108" s="2">
        <v>0</v>
      </c>
      <c r="K108" s="2">
        <v>0</v>
      </c>
      <c r="L108" s="2">
        <v>0</v>
      </c>
      <c r="M108" s="26">
        <v>0</v>
      </c>
      <c r="N108" s="2">
        <v>0</v>
      </c>
      <c r="O108" s="22">
        <v>0</v>
      </c>
    </row>
    <row r="109" spans="1:15" x14ac:dyDescent="0.15">
      <c r="A109" s="8"/>
      <c r="B109" s="2"/>
      <c r="C109" s="2"/>
      <c r="D109" s="20"/>
      <c r="E109" s="2"/>
      <c r="F109" s="22"/>
      <c r="G109" s="14"/>
      <c r="H109" s="14"/>
      <c r="I109" s="2"/>
      <c r="J109" s="2"/>
      <c r="K109" s="2"/>
      <c r="L109" s="2"/>
      <c r="M109" s="173"/>
      <c r="N109" s="2"/>
      <c r="O109" s="22"/>
    </row>
    <row r="110" spans="1:15" x14ac:dyDescent="0.15">
      <c r="A110" s="9" t="s">
        <v>62</v>
      </c>
      <c r="B110" s="34">
        <v>0</v>
      </c>
      <c r="C110" s="34">
        <v>0</v>
      </c>
      <c r="D110" s="34">
        <v>5.0000000000000001E-3</v>
      </c>
      <c r="E110" s="34">
        <v>0.01</v>
      </c>
      <c r="F110" s="34">
        <v>1.4999999999999999E-2</v>
      </c>
      <c r="G110" s="34">
        <v>0.02</v>
      </c>
      <c r="H110" s="13">
        <v>2.4500000000000001E-2</v>
      </c>
      <c r="I110" s="13">
        <v>2.75E-2</v>
      </c>
      <c r="J110" s="13">
        <v>3.5000000000000003E-2</v>
      </c>
      <c r="K110" s="13">
        <v>6.5000000000000002E-2</v>
      </c>
      <c r="L110" s="153">
        <v>9.5000000000000001E-2</v>
      </c>
      <c r="M110" s="181">
        <f>M83-M82</f>
        <v>0.12569999999999998</v>
      </c>
      <c r="N110" s="34">
        <f>N83-N82</f>
        <v>0.12530000000000002</v>
      </c>
      <c r="O110" s="13">
        <v>0.1202</v>
      </c>
    </row>
    <row r="111" spans="1:15" x14ac:dyDescent="0.15">
      <c r="A111" s="9"/>
      <c r="B111" s="34"/>
      <c r="C111" s="34"/>
      <c r="D111" s="34"/>
      <c r="E111" s="34"/>
      <c r="F111" s="34"/>
      <c r="G111" s="34"/>
      <c r="H111" s="13"/>
      <c r="I111" s="34">
        <v>0</v>
      </c>
      <c r="J111" s="13">
        <v>3.5000000000000003E-2</v>
      </c>
      <c r="K111" s="13">
        <v>6.5000000000000002E-2</v>
      </c>
      <c r="L111" s="153">
        <v>9.5000000000000001E-2</v>
      </c>
      <c r="M111" s="181">
        <f>M110</f>
        <v>0.12569999999999998</v>
      </c>
      <c r="N111" s="34">
        <f>N110</f>
        <v>0.12530000000000002</v>
      </c>
      <c r="O111" s="13">
        <v>0.1202</v>
      </c>
    </row>
    <row r="112" spans="1:15" x14ac:dyDescent="0.15">
      <c r="A112" s="8"/>
      <c r="B112" s="2"/>
      <c r="C112" s="2"/>
      <c r="D112" s="2"/>
      <c r="E112" s="2"/>
      <c r="F112" s="2"/>
      <c r="G112" s="32"/>
      <c r="H112" s="32"/>
      <c r="I112" s="2"/>
      <c r="J112" s="13"/>
      <c r="K112" s="13"/>
      <c r="L112" s="153"/>
      <c r="M112" s="26"/>
      <c r="N112" s="2"/>
      <c r="O112" s="2"/>
    </row>
    <row r="113" spans="1:15" x14ac:dyDescent="0.15">
      <c r="A113" s="9" t="s">
        <v>66</v>
      </c>
      <c r="B113" s="33">
        <v>2012</v>
      </c>
      <c r="C113" s="33">
        <v>2013</v>
      </c>
      <c r="D113" s="33">
        <v>2014</v>
      </c>
      <c r="E113" s="33">
        <v>2015</v>
      </c>
      <c r="F113" s="33">
        <v>2016</v>
      </c>
      <c r="G113" s="33">
        <v>2017</v>
      </c>
      <c r="H113" s="33">
        <v>2018</v>
      </c>
      <c r="I113" s="33">
        <v>2019</v>
      </c>
      <c r="J113" s="33">
        <v>2020</v>
      </c>
      <c r="K113" s="33">
        <v>2021</v>
      </c>
      <c r="L113" s="33">
        <v>2022</v>
      </c>
      <c r="M113" s="171">
        <v>2023</v>
      </c>
      <c r="N113" s="33">
        <v>2024</v>
      </c>
      <c r="O113" s="33">
        <v>2025</v>
      </c>
    </row>
    <row r="114" spans="1:15" x14ac:dyDescent="0.15">
      <c r="A114" s="8" t="s">
        <v>51</v>
      </c>
      <c r="B114" s="2">
        <v>4814</v>
      </c>
      <c r="C114" s="2">
        <v>4814</v>
      </c>
      <c r="D114" s="2">
        <v>4814</v>
      </c>
      <c r="E114" s="2">
        <v>4857</v>
      </c>
      <c r="F114" s="2">
        <v>4881</v>
      </c>
      <c r="G114" s="2">
        <v>4895</v>
      </c>
      <c r="H114" s="2">
        <v>4934</v>
      </c>
      <c r="I114" s="2">
        <v>4993</v>
      </c>
      <c r="J114" s="2">
        <v>5072</v>
      </c>
      <c r="K114" s="2">
        <v>5153</v>
      </c>
      <c r="L114" s="2">
        <v>5219</v>
      </c>
      <c r="M114" s="26">
        <v>5547</v>
      </c>
      <c r="N114" s="2">
        <v>6074</v>
      </c>
      <c r="O114" s="2">
        <v>6145</v>
      </c>
    </row>
    <row r="115" spans="1:15" x14ac:dyDescent="0.15">
      <c r="A115" s="8" t="s">
        <v>52</v>
      </c>
      <c r="B115" s="2">
        <v>32539</v>
      </c>
      <c r="C115" s="2">
        <v>32539</v>
      </c>
      <c r="D115" s="2">
        <v>32539</v>
      </c>
      <c r="E115" s="2">
        <v>32832</v>
      </c>
      <c r="F115" s="2">
        <v>32969</v>
      </c>
      <c r="G115" s="2">
        <v>33065</v>
      </c>
      <c r="H115" s="2">
        <v>33331</v>
      </c>
      <c r="I115" s="2">
        <v>29753</v>
      </c>
      <c r="J115" s="2">
        <v>30234</v>
      </c>
      <c r="K115" s="2">
        <v>29738</v>
      </c>
      <c r="L115" s="2">
        <v>27350</v>
      </c>
      <c r="M115" s="26">
        <v>29075</v>
      </c>
      <c r="N115" s="2">
        <v>31838</v>
      </c>
      <c r="O115" s="2">
        <v>32223</v>
      </c>
    </row>
    <row r="116" spans="1:15" x14ac:dyDescent="0.15">
      <c r="A116" s="8" t="s">
        <v>93</v>
      </c>
      <c r="B116" s="35">
        <f>IF(B79=TRUE,1.837%,4%)</f>
        <v>0.04</v>
      </c>
      <c r="C116" s="35">
        <f>IF(C79=TRUE,2.064%,4%)</f>
        <v>0.04</v>
      </c>
      <c r="D116" s="35">
        <f>IF(D79=TRUE,2.038%,4%)</f>
        <v>0.04</v>
      </c>
      <c r="E116" s="35">
        <f>IF(E79=TRUE,2.037%,4%)</f>
        <v>0.04</v>
      </c>
      <c r="F116" s="35">
        <f>IF(F79=TRUE,3.143%,6.159%)</f>
        <v>6.1589999999999999E-2</v>
      </c>
      <c r="G116" s="35">
        <f>IF(G79=TRUE,3.143%,6.159%)</f>
        <v>6.1589999999999999E-2</v>
      </c>
      <c r="H116" s="35">
        <f>IF(H79=TRUE,3.143%,6.159%)</f>
        <v>6.1589999999999999E-2</v>
      </c>
      <c r="I116" s="35">
        <f>IF(I79=TRUE,5.86%,11.45%)</f>
        <v>0.11449999999999999</v>
      </c>
      <c r="J116" s="35">
        <f>IF(J79=TRUE,5.963%,11.45%)</f>
        <v>0.11449999999999999</v>
      </c>
      <c r="K116" s="35">
        <f>IF(K79=TRUE,5.963%,11.45%)</f>
        <v>0.11449999999999999</v>
      </c>
      <c r="L116" s="170">
        <f>IF(L79=TRUE,5.921%,11.45%)</f>
        <v>0.11449999999999999</v>
      </c>
      <c r="M116" s="182">
        <f>IF(M79=TRUE,5.921%,11.45%)</f>
        <v>0.11449999999999999</v>
      </c>
      <c r="N116" s="37">
        <v>0.1145</v>
      </c>
      <c r="O116" s="37">
        <v>0.1145</v>
      </c>
    </row>
    <row r="117" spans="1:15" x14ac:dyDescent="0.15">
      <c r="A117" s="8" t="s">
        <v>58</v>
      </c>
      <c r="B117" s="2">
        <f>IF($B$37=TRUE,IF(B79=TRUE,471,1024),0)</f>
        <v>0</v>
      </c>
      <c r="C117" s="2">
        <f>IF($B$37=TRUE,IF(C79=TRUE,529,1024),0)</f>
        <v>0</v>
      </c>
      <c r="D117" s="2">
        <f>IF($B$37=TRUE,IF(D79=TRUE,528,1024),0)</f>
        <v>0</v>
      </c>
      <c r="E117" s="2">
        <f>IF($B$37=TRUE,IF(E79=TRUE,528,1033),0)</f>
        <v>0</v>
      </c>
      <c r="F117" s="2">
        <f>IF($B$37=TRUE,IF(F79=TRUE,531,1039),0)</f>
        <v>0</v>
      </c>
      <c r="G117" s="2">
        <f>IF($B$37=TRUE,IF(G79=TRUE,533,1043),0)</f>
        <v>0</v>
      </c>
      <c r="H117" s="2">
        <f>IF($B$37=TRUE,IF(H79=TRUE,537,1052),0)</f>
        <v>0</v>
      </c>
      <c r="I117" s="2">
        <f>IF($B$37=TRUE,IF(I79=TRUE,0,0),0)</f>
        <v>0</v>
      </c>
      <c r="J117" s="2">
        <f>IF($B$37=TRUE,IF(J79=TRUE,0,0),0)</f>
        <v>0</v>
      </c>
      <c r="K117" s="2">
        <f>IF($B$37=TRUE,IF(K79=TRUE,0,0),0)</f>
        <v>0</v>
      </c>
      <c r="L117" s="2">
        <v>0</v>
      </c>
      <c r="M117" s="26">
        <v>0</v>
      </c>
      <c r="N117" s="2">
        <v>0</v>
      </c>
      <c r="O117" s="22">
        <v>0</v>
      </c>
    </row>
    <row r="118" spans="1:15" x14ac:dyDescent="0.15">
      <c r="A118" s="8" t="s">
        <v>57</v>
      </c>
      <c r="B118" s="2">
        <f>IF(B$79=TRUE,980,2133)</f>
        <v>2133</v>
      </c>
      <c r="C118" s="2">
        <f>IF(C$79=TRUE,1102,2133)</f>
        <v>2133</v>
      </c>
      <c r="D118" s="2">
        <f>IF(D$79=TRUE,1081,2133)</f>
        <v>2133</v>
      </c>
      <c r="E118" s="2">
        <f>IF(E$79=TRUE,1098,2152)</f>
        <v>2152</v>
      </c>
      <c r="F118" s="2">
        <f>IF(F$79=TRUE,1413,2769)</f>
        <v>2769</v>
      </c>
      <c r="G118" s="2">
        <f>IF(G$79=TRUE,1418,2778)</f>
        <v>2778</v>
      </c>
      <c r="H118" s="2">
        <f>IF(H$79=TRUE,1431,2801)</f>
        <v>2801</v>
      </c>
      <c r="I118" s="2">
        <f>IF(I79=TRUE,1452,2835)</f>
        <v>2835</v>
      </c>
      <c r="J118" s="2">
        <f>IF(J79=TRUE,1452,2881)</f>
        <v>2881</v>
      </c>
      <c r="K118" s="2">
        <f>IF(K79=TRUE,1452,2815)</f>
        <v>2815</v>
      </c>
      <c r="L118" s="2">
        <f>IF(L79=TRUE,1311,2534)</f>
        <v>2534</v>
      </c>
      <c r="M118" s="26">
        <f>IF(M79=TRUE,1394,2694)</f>
        <v>2694</v>
      </c>
      <c r="N118" s="2">
        <v>2950</v>
      </c>
      <c r="O118" s="22">
        <v>2986</v>
      </c>
    </row>
    <row r="119" spans="1:15" x14ac:dyDescent="0.15">
      <c r="A119" s="8"/>
      <c r="B119" s="2"/>
      <c r="C119" s="2"/>
      <c r="D119" s="20"/>
      <c r="E119" s="2"/>
      <c r="F119" s="22"/>
      <c r="G119" s="14"/>
      <c r="H119" s="14"/>
      <c r="I119" s="2"/>
      <c r="J119" s="2"/>
      <c r="K119" s="2"/>
      <c r="L119" s="2"/>
      <c r="M119" s="173"/>
      <c r="N119" s="2"/>
      <c r="O119" s="22"/>
    </row>
    <row r="120" spans="1:15" x14ac:dyDescent="0.15">
      <c r="A120" s="33" t="s">
        <v>94</v>
      </c>
      <c r="B120" s="33">
        <v>2012</v>
      </c>
      <c r="C120" s="33">
        <v>2013</v>
      </c>
      <c r="D120" s="33">
        <v>2014</v>
      </c>
      <c r="E120" s="33">
        <v>2015</v>
      </c>
      <c r="F120" s="33">
        <v>2016</v>
      </c>
      <c r="G120" s="33">
        <v>2017</v>
      </c>
      <c r="H120" s="33">
        <v>2018</v>
      </c>
      <c r="I120" s="33">
        <v>2019</v>
      </c>
      <c r="J120" s="33">
        <v>2020</v>
      </c>
      <c r="K120" s="33">
        <v>2021</v>
      </c>
      <c r="L120" s="33">
        <v>2022</v>
      </c>
      <c r="M120" s="171">
        <v>2023</v>
      </c>
      <c r="N120" s="33">
        <v>2024</v>
      </c>
      <c r="O120" s="33">
        <v>2025</v>
      </c>
    </row>
    <row r="121" spans="1:15" x14ac:dyDescent="0.15">
      <c r="A121" s="8" t="s">
        <v>95</v>
      </c>
      <c r="B121" s="13">
        <v>7.0999999999999994E-2</v>
      </c>
      <c r="C121" s="13">
        <v>7.7499999999999999E-2</v>
      </c>
      <c r="D121" s="13">
        <v>7.4999999999999997E-2</v>
      </c>
      <c r="E121" s="13">
        <v>6.9500000000000006E-2</v>
      </c>
      <c r="F121" s="13">
        <v>6.7500000000000004E-2</v>
      </c>
      <c r="G121" s="13">
        <v>6.6500000000000004E-2</v>
      </c>
      <c r="H121" s="13">
        <v>6.9000000000000006E-2</v>
      </c>
      <c r="I121" s="20">
        <v>6.9500000000000006E-2</v>
      </c>
      <c r="J121" s="20">
        <v>6.7000000000000004E-2</v>
      </c>
      <c r="K121" s="20">
        <v>7.0000000000000007E-2</v>
      </c>
      <c r="L121" s="20">
        <v>6.7500000000000004E-2</v>
      </c>
      <c r="M121" s="173">
        <v>6.6799999999999998E-2</v>
      </c>
      <c r="N121" s="185">
        <v>6.5699999999999995E-2</v>
      </c>
      <c r="O121" s="20">
        <v>6.5100000000000005E-2</v>
      </c>
    </row>
    <row r="122" spans="1:15" x14ac:dyDescent="0.15">
      <c r="A122" s="8" t="s">
        <v>96</v>
      </c>
      <c r="B122" s="38">
        <v>0.05</v>
      </c>
      <c r="C122" s="38">
        <v>5.6500000000000002E-2</v>
      </c>
      <c r="D122" s="38">
        <v>5.3999999999999999E-2</v>
      </c>
      <c r="E122" s="38">
        <v>4.8500000000000001E-2</v>
      </c>
      <c r="F122" s="13">
        <v>5.5E-2</v>
      </c>
      <c r="G122" s="13">
        <v>5.3999999999999999E-2</v>
      </c>
      <c r="H122" s="13">
        <v>5.6500000000000002E-2</v>
      </c>
      <c r="I122" s="20">
        <v>5.7000000000000002E-2</v>
      </c>
      <c r="J122" s="20">
        <v>5.45E-2</v>
      </c>
      <c r="K122" s="20">
        <v>5.7500000000000002E-2</v>
      </c>
      <c r="L122" s="20">
        <v>5.5E-2</v>
      </c>
      <c r="M122" s="173">
        <v>5.4300000000000001E-2</v>
      </c>
      <c r="N122" s="185">
        <v>5.3199999999999997E-2</v>
      </c>
      <c r="O122" s="20">
        <v>5.2600000000000001E-2</v>
      </c>
    </row>
    <row r="123" spans="1:15" x14ac:dyDescent="0.15">
      <c r="A123" s="8" t="s">
        <v>97</v>
      </c>
      <c r="B123" s="61">
        <v>50064</v>
      </c>
      <c r="C123" s="61">
        <v>50853</v>
      </c>
      <c r="D123" s="61">
        <v>51414</v>
      </c>
      <c r="E123" s="61">
        <v>51976</v>
      </c>
      <c r="F123" s="61">
        <v>52763</v>
      </c>
      <c r="G123" s="62">
        <v>53701</v>
      </c>
      <c r="H123" s="63">
        <v>54614</v>
      </c>
      <c r="I123" s="63">
        <v>55923</v>
      </c>
      <c r="J123" s="50">
        <v>57232</v>
      </c>
      <c r="K123" s="50">
        <v>58311</v>
      </c>
      <c r="L123" s="50">
        <v>59706</v>
      </c>
      <c r="M123" s="172">
        <v>66952</v>
      </c>
      <c r="N123" s="172">
        <v>71628</v>
      </c>
      <c r="O123" s="50">
        <v>75864</v>
      </c>
    </row>
    <row r="124" spans="1:15" x14ac:dyDescent="0.15">
      <c r="A124" s="8"/>
      <c r="B124" s="2"/>
      <c r="C124" s="2"/>
      <c r="D124" s="20"/>
      <c r="E124" s="2"/>
      <c r="F124" s="22"/>
      <c r="G124" s="14"/>
      <c r="H124" s="14"/>
      <c r="I124" s="2"/>
      <c r="J124" s="2"/>
      <c r="K124" s="2"/>
      <c r="L124" s="2"/>
      <c r="M124" s="173"/>
      <c r="N124" s="2"/>
      <c r="O124" s="22"/>
    </row>
    <row r="125" spans="1:15" x14ac:dyDescent="0.15">
      <c r="A125" s="9" t="s">
        <v>71</v>
      </c>
      <c r="B125" s="33">
        <v>2012</v>
      </c>
      <c r="C125" s="33">
        <v>2013</v>
      </c>
      <c r="D125" s="33">
        <v>2014</v>
      </c>
      <c r="E125" s="33">
        <v>2015</v>
      </c>
      <c r="F125" s="33">
        <v>2016</v>
      </c>
      <c r="G125" s="33">
        <v>2017</v>
      </c>
      <c r="H125" s="33">
        <v>2018</v>
      </c>
      <c r="I125" s="33">
        <v>2019</v>
      </c>
      <c r="J125" s="33">
        <v>2020</v>
      </c>
      <c r="K125" s="33">
        <v>2021</v>
      </c>
      <c r="L125" s="33">
        <v>2022</v>
      </c>
      <c r="M125" s="171">
        <v>2023</v>
      </c>
      <c r="N125" s="33">
        <v>2024</v>
      </c>
      <c r="O125" s="33">
        <v>2025</v>
      </c>
    </row>
    <row r="126" spans="1:15" x14ac:dyDescent="0.15">
      <c r="A126" s="8" t="s">
        <v>7</v>
      </c>
      <c r="B126" s="39">
        <v>0.12</v>
      </c>
      <c r="C126" s="39">
        <v>0.12</v>
      </c>
      <c r="D126" s="20">
        <v>0.109</v>
      </c>
      <c r="E126" s="13">
        <v>9.8000000000000004E-2</v>
      </c>
      <c r="F126" s="13">
        <v>9.8000000000000004E-2</v>
      </c>
      <c r="G126" s="13">
        <v>9.8000000000000004E-2</v>
      </c>
      <c r="H126" s="13">
        <v>9.4399999999999998E-2</v>
      </c>
      <c r="I126" s="13">
        <v>9.4399999999999998E-2</v>
      </c>
      <c r="J126" s="13">
        <f>I126</f>
        <v>9.4399999999999998E-2</v>
      </c>
      <c r="K126" s="13">
        <f t="shared" ref="K126:L126" si="2">J126</f>
        <v>9.4399999999999998E-2</v>
      </c>
      <c r="L126" s="154">
        <f t="shared" si="2"/>
        <v>9.4399999999999998E-2</v>
      </c>
      <c r="M126" s="181">
        <v>0</v>
      </c>
      <c r="N126" s="188">
        <f t="shared" ref="N126:N127" si="3">M126</f>
        <v>0</v>
      </c>
      <c r="O126" s="13">
        <f t="shared" ref="O126:O127" si="4">N126</f>
        <v>0</v>
      </c>
    </row>
    <row r="127" spans="1:15" x14ac:dyDescent="0.15">
      <c r="A127" s="8" t="s">
        <v>98</v>
      </c>
      <c r="B127" s="50">
        <v>9542</v>
      </c>
      <c r="C127" s="50">
        <v>9542</v>
      </c>
      <c r="D127" s="50">
        <v>9542</v>
      </c>
      <c r="E127" s="50">
        <v>8631</v>
      </c>
      <c r="F127" s="50">
        <v>8774</v>
      </c>
      <c r="G127" s="50">
        <v>8946</v>
      </c>
      <c r="H127" s="50">
        <v>8775</v>
      </c>
      <c r="I127" s="50">
        <v>8999</v>
      </c>
      <c r="J127" s="50">
        <v>9218</v>
      </c>
      <c r="K127" s="50">
        <v>9395</v>
      </c>
      <c r="L127" s="50">
        <v>9632</v>
      </c>
      <c r="M127" s="172">
        <v>0</v>
      </c>
      <c r="N127" s="189">
        <f t="shared" si="3"/>
        <v>0</v>
      </c>
      <c r="O127" s="50">
        <f t="shared" si="4"/>
        <v>0</v>
      </c>
    </row>
    <row r="128" spans="1:15" x14ac:dyDescent="0.15">
      <c r="A128" s="8"/>
      <c r="B128" s="2"/>
      <c r="C128" s="2"/>
      <c r="D128" s="2"/>
      <c r="E128" s="2"/>
      <c r="F128" s="2"/>
      <c r="G128" s="32"/>
      <c r="H128" s="32"/>
      <c r="I128" s="2"/>
      <c r="J128" s="2"/>
      <c r="K128" s="2"/>
      <c r="L128" s="2"/>
      <c r="M128" s="26"/>
      <c r="N128" s="2"/>
      <c r="O128" s="2"/>
    </row>
    <row r="129" spans="1:15" x14ac:dyDescent="0.15">
      <c r="A129" s="33"/>
      <c r="B129" s="33">
        <v>2012</v>
      </c>
      <c r="C129" s="33">
        <v>2013</v>
      </c>
      <c r="D129" s="33">
        <v>2014</v>
      </c>
      <c r="E129" s="33">
        <v>2015</v>
      </c>
      <c r="F129" s="33">
        <v>2016</v>
      </c>
      <c r="G129" s="33">
        <v>2017</v>
      </c>
      <c r="H129" s="33">
        <v>2018</v>
      </c>
      <c r="I129" s="33">
        <v>2019</v>
      </c>
      <c r="J129" s="33">
        <v>2020</v>
      </c>
      <c r="K129" s="33">
        <v>2021</v>
      </c>
      <c r="L129" s="33">
        <v>2022</v>
      </c>
      <c r="M129" s="171">
        <v>2023</v>
      </c>
      <c r="N129" s="33">
        <v>2024</v>
      </c>
      <c r="O129" s="33">
        <v>2025</v>
      </c>
    </row>
    <row r="130" spans="1:15" x14ac:dyDescent="0.15">
      <c r="A130" s="9" t="s">
        <v>9</v>
      </c>
      <c r="B130" s="2">
        <f t="shared" ref="B130:G130" si="5">IF($B$79,3640,7280)</f>
        <v>7280</v>
      </c>
      <c r="C130" s="2">
        <f t="shared" si="5"/>
        <v>7280</v>
      </c>
      <c r="D130" s="2">
        <f t="shared" si="5"/>
        <v>7280</v>
      </c>
      <c r="E130" s="2">
        <f t="shared" si="5"/>
        <v>7280</v>
      </c>
      <c r="F130" s="2">
        <f t="shared" si="5"/>
        <v>7280</v>
      </c>
      <c r="G130" s="2">
        <f t="shared" si="5"/>
        <v>7280</v>
      </c>
      <c r="H130" s="2">
        <f t="shared" ref="H130" si="6">IF(H$79,3640,7280)</f>
        <v>7280</v>
      </c>
      <c r="I130" s="2">
        <f>IF(I79,3640,7280)</f>
        <v>7280</v>
      </c>
      <c r="J130" s="2">
        <f>I130-250</f>
        <v>7030</v>
      </c>
      <c r="K130" s="2">
        <f>IF(K79,3335,6670)</f>
        <v>6670</v>
      </c>
      <c r="L130" s="2">
        <f>K130-360</f>
        <v>6310</v>
      </c>
      <c r="M130" s="26">
        <v>5030</v>
      </c>
      <c r="N130" s="186">
        <f>M130-1280</f>
        <v>3750</v>
      </c>
      <c r="O130" s="2">
        <v>2470</v>
      </c>
    </row>
    <row r="131" spans="1:15" x14ac:dyDescent="0.15">
      <c r="A131" s="9" t="s">
        <v>10</v>
      </c>
      <c r="B131" s="2">
        <f t="shared" ref="B131:G131" si="7">IF($B$79,1062,2123)</f>
        <v>2123</v>
      </c>
      <c r="C131" s="2">
        <f t="shared" si="7"/>
        <v>2123</v>
      </c>
      <c r="D131" s="2">
        <f t="shared" si="7"/>
        <v>2123</v>
      </c>
      <c r="E131" s="2">
        <f t="shared" si="7"/>
        <v>2123</v>
      </c>
      <c r="F131" s="2">
        <f t="shared" si="7"/>
        <v>2123</v>
      </c>
      <c r="G131" s="2">
        <f t="shared" si="7"/>
        <v>2123</v>
      </c>
      <c r="H131" s="2">
        <f t="shared" ref="H131" si="8">IF(H$79,1062,2123)</f>
        <v>2123</v>
      </c>
      <c r="I131" s="2">
        <f>IF(I79,1062,2123)</f>
        <v>2123</v>
      </c>
      <c r="J131" s="2">
        <f>IF(J79,1062,2123)</f>
        <v>2123</v>
      </c>
      <c r="K131" s="2">
        <f>IF(K79,1062,2123)</f>
        <v>2123</v>
      </c>
      <c r="L131" s="2">
        <f t="shared" ref="L131" si="9">IF(L79,1062,2123)</f>
        <v>2123</v>
      </c>
      <c r="M131" s="183">
        <v>2123</v>
      </c>
      <c r="N131" s="61">
        <f>N130*50%</f>
        <v>1875</v>
      </c>
      <c r="O131" s="10">
        <v>2123</v>
      </c>
    </row>
    <row r="132" spans="1:15" x14ac:dyDescent="0.15">
      <c r="A132" s="9" t="s">
        <v>99</v>
      </c>
      <c r="B132" s="2"/>
      <c r="C132" s="2"/>
      <c r="D132" s="20"/>
      <c r="E132" s="2"/>
      <c r="F132" s="22"/>
      <c r="G132" s="14"/>
      <c r="H132" s="14"/>
      <c r="I132" s="2"/>
      <c r="J132" s="2"/>
      <c r="K132" s="2"/>
      <c r="L132" s="2"/>
      <c r="M132" s="173"/>
      <c r="N132" s="2"/>
      <c r="O132" s="22"/>
    </row>
    <row r="133" spans="1:15" x14ac:dyDescent="0.15">
      <c r="A133" s="8"/>
      <c r="B133" s="2"/>
      <c r="C133" s="2"/>
      <c r="D133" s="20"/>
      <c r="E133" s="2"/>
      <c r="F133" s="22"/>
      <c r="G133" s="14"/>
      <c r="H133" s="14"/>
      <c r="I133" s="2"/>
      <c r="J133" s="2"/>
      <c r="K133" s="2"/>
      <c r="L133" s="2"/>
      <c r="M133" s="173"/>
      <c r="N133" s="2"/>
      <c r="O133" s="22"/>
    </row>
    <row r="134" spans="1:15" x14ac:dyDescent="0.15">
      <c r="A134" s="9" t="s">
        <v>12</v>
      </c>
      <c r="B134" s="33">
        <v>2012</v>
      </c>
      <c r="C134" s="33">
        <v>2013</v>
      </c>
      <c r="D134" s="33">
        <v>2014</v>
      </c>
      <c r="E134" s="33">
        <v>2015</v>
      </c>
      <c r="F134" s="33">
        <v>2016</v>
      </c>
      <c r="G134" s="33">
        <v>2017</v>
      </c>
      <c r="H134" s="33">
        <v>2018</v>
      </c>
      <c r="I134" s="33">
        <v>2019</v>
      </c>
      <c r="J134" s="33">
        <v>2020</v>
      </c>
      <c r="K134" s="33">
        <v>2021</v>
      </c>
      <c r="L134" s="33">
        <v>2022</v>
      </c>
      <c r="M134" s="171">
        <v>2023</v>
      </c>
      <c r="N134" s="33">
        <v>2024</v>
      </c>
      <c r="O134" s="33">
        <v>2025</v>
      </c>
    </row>
    <row r="135" spans="1:15" x14ac:dyDescent="0.15">
      <c r="A135" s="8"/>
      <c r="B135" s="19">
        <v>0.12</v>
      </c>
      <c r="C135" s="19">
        <v>0.14000000000000001</v>
      </c>
      <c r="D135" s="19">
        <v>0.14000000000000001</v>
      </c>
      <c r="E135" s="19">
        <v>0.14000000000000001</v>
      </c>
      <c r="F135" s="19">
        <v>0.14000000000000001</v>
      </c>
      <c r="G135" s="19">
        <v>0.14000000000000001</v>
      </c>
      <c r="H135" s="19">
        <v>0.14000000000000001</v>
      </c>
      <c r="I135" s="19">
        <v>0.14000000000000001</v>
      </c>
      <c r="J135" s="19">
        <v>0.14000000000000001</v>
      </c>
      <c r="K135" s="19">
        <v>0.14000000000000001</v>
      </c>
      <c r="L135" s="19">
        <v>0.14000000000000001</v>
      </c>
      <c r="M135" s="174">
        <v>0.14000000000000001</v>
      </c>
      <c r="N135" s="19">
        <v>0.1331</v>
      </c>
      <c r="O135" s="20">
        <v>0.127</v>
      </c>
    </row>
    <row r="136" spans="1:15" x14ac:dyDescent="0.15">
      <c r="A136" s="8"/>
      <c r="B136" s="2"/>
      <c r="C136" s="2"/>
      <c r="D136" s="2"/>
      <c r="E136" s="2"/>
      <c r="F136" s="2"/>
      <c r="G136" s="32"/>
      <c r="H136" s="32"/>
      <c r="I136" s="2"/>
      <c r="J136" s="2"/>
      <c r="K136" s="2"/>
      <c r="L136" s="2"/>
      <c r="M136" s="26"/>
      <c r="N136" s="2"/>
      <c r="O136" s="2"/>
    </row>
    <row r="137" spans="1:15" x14ac:dyDescent="0.15">
      <c r="A137" s="9" t="s">
        <v>6</v>
      </c>
      <c r="B137" s="33">
        <v>2012</v>
      </c>
      <c r="C137" s="33">
        <v>2013</v>
      </c>
      <c r="D137" s="33">
        <v>2014</v>
      </c>
      <c r="E137" s="33">
        <v>2015</v>
      </c>
      <c r="F137" s="33">
        <v>2016</v>
      </c>
      <c r="G137" s="33">
        <v>2017</v>
      </c>
      <c r="H137" s="33">
        <v>2018</v>
      </c>
      <c r="I137" s="33">
        <v>2019</v>
      </c>
      <c r="J137" s="33">
        <v>2020</v>
      </c>
      <c r="K137" s="33">
        <v>2021</v>
      </c>
      <c r="L137" s="33">
        <v>2022</v>
      </c>
      <c r="M137" s="171">
        <v>2023</v>
      </c>
      <c r="N137" s="33">
        <v>2024</v>
      </c>
      <c r="O137" s="33">
        <v>2025</v>
      </c>
    </row>
    <row r="138" spans="1:15" x14ac:dyDescent="0.15">
      <c r="A138" s="8" t="s">
        <v>100</v>
      </c>
      <c r="B138" s="64">
        <v>1040000</v>
      </c>
      <c r="C138" s="64">
        <v>1040000</v>
      </c>
      <c r="D138" s="64">
        <v>1040000</v>
      </c>
      <c r="E138" s="64">
        <v>1050000</v>
      </c>
      <c r="F138" s="64">
        <v>1050000</v>
      </c>
      <c r="G138" s="64">
        <v>1060000</v>
      </c>
      <c r="H138" s="64">
        <v>1060000</v>
      </c>
      <c r="I138" s="64">
        <v>1080000</v>
      </c>
      <c r="J138" s="64">
        <v>1090000</v>
      </c>
      <c r="K138" s="64">
        <v>1110000</v>
      </c>
      <c r="L138" s="64">
        <v>1130000</v>
      </c>
      <c r="M138" s="184">
        <v>1200000</v>
      </c>
      <c r="N138" s="187">
        <v>1310000</v>
      </c>
      <c r="O138" s="64">
        <v>1330000</v>
      </c>
    </row>
    <row r="139" spans="1:15" x14ac:dyDescent="0.15">
      <c r="A139" s="8">
        <v>12500</v>
      </c>
      <c r="B139" s="20">
        <v>2E-3</v>
      </c>
      <c r="C139" s="20">
        <v>2E-3</v>
      </c>
      <c r="D139" s="20">
        <v>2.5000000000000001E-3</v>
      </c>
      <c r="E139" s="20">
        <v>3.0000000000000001E-3</v>
      </c>
      <c r="F139" s="20">
        <v>3.0000000000000001E-3</v>
      </c>
      <c r="G139" s="20">
        <v>3.0000000000000001E-3</v>
      </c>
      <c r="H139" s="20">
        <v>2.5000000000000001E-3</v>
      </c>
      <c r="I139" s="20">
        <v>2.5000000000000001E-3</v>
      </c>
      <c r="J139" s="20">
        <v>2E-3</v>
      </c>
      <c r="K139" s="20">
        <v>2E-3</v>
      </c>
      <c r="L139" s="20">
        <v>1.5E-3</v>
      </c>
      <c r="M139" s="173">
        <v>1E-3</v>
      </c>
      <c r="N139" s="2">
        <v>1E-3</v>
      </c>
      <c r="O139" s="2">
        <v>1E-3</v>
      </c>
    </row>
    <row r="140" spans="1:15" x14ac:dyDescent="0.15">
      <c r="A140" s="8">
        <v>25000</v>
      </c>
      <c r="B140" s="65">
        <v>3.5000000000000001E-3</v>
      </c>
      <c r="C140" s="65">
        <v>3.5000000000000001E-3</v>
      </c>
      <c r="D140" s="65">
        <v>4.0000000000000001E-3</v>
      </c>
      <c r="E140" s="65">
        <v>4.4999999999999997E-3</v>
      </c>
      <c r="F140" s="65">
        <v>4.4999999999999997E-3</v>
      </c>
      <c r="G140" s="65">
        <v>4.4999999999999997E-3</v>
      </c>
      <c r="H140" s="65">
        <v>4.0000000000000001E-3</v>
      </c>
      <c r="I140" s="48">
        <v>3.5000000000000001E-3</v>
      </c>
      <c r="J140" s="48">
        <v>3.5000000000000001E-3</v>
      </c>
      <c r="K140" s="48">
        <v>3.0000000000000001E-3</v>
      </c>
      <c r="L140" s="48">
        <v>2.5000000000000001E-3</v>
      </c>
      <c r="M140" s="48">
        <v>2E-3</v>
      </c>
      <c r="N140" s="61">
        <v>2E-3</v>
      </c>
      <c r="O140" s="61">
        <v>2E-3</v>
      </c>
    </row>
    <row r="141" spans="1:15" x14ac:dyDescent="0.15">
      <c r="A141" s="8">
        <v>50000</v>
      </c>
      <c r="B141" s="20">
        <v>4.4999999999999997E-3</v>
      </c>
      <c r="C141" s="20">
        <v>4.4999999999999997E-3</v>
      </c>
      <c r="D141" s="20">
        <v>5.4999999999999997E-3</v>
      </c>
      <c r="E141" s="20">
        <v>6.0000000000000001E-3</v>
      </c>
      <c r="F141" s="20">
        <v>6.0000000000000001E-3</v>
      </c>
      <c r="G141" s="20">
        <v>6.0000000000000001E-3</v>
      </c>
      <c r="H141" s="20">
        <v>5.4999999999999997E-3</v>
      </c>
      <c r="I141" s="48">
        <v>5.0000000000000001E-3</v>
      </c>
      <c r="J141" s="48">
        <v>4.4999999999999997E-3</v>
      </c>
      <c r="K141" s="48">
        <v>4.0000000000000001E-3</v>
      </c>
      <c r="L141" s="48">
        <v>3.5000000000000001E-3</v>
      </c>
      <c r="M141" s="48">
        <v>2.5000000000000001E-3</v>
      </c>
      <c r="N141" s="2">
        <v>2.5000000000000001E-3</v>
      </c>
      <c r="O141" s="22">
        <v>2.5000000000000001E-3</v>
      </c>
    </row>
    <row r="142" spans="1:15" x14ac:dyDescent="0.15">
      <c r="A142" s="8">
        <v>75000</v>
      </c>
      <c r="B142" s="20">
        <v>6.0000000000000001E-3</v>
      </c>
      <c r="C142" s="20">
        <v>6.0000000000000001E-3</v>
      </c>
      <c r="D142" s="20">
        <v>7.0000000000000001E-3</v>
      </c>
      <c r="E142" s="20">
        <v>7.4999999999999997E-3</v>
      </c>
      <c r="F142" s="20">
        <v>7.4999999999999997E-3</v>
      </c>
      <c r="G142" s="20">
        <v>7.4999999999999997E-3</v>
      </c>
      <c r="H142" s="20">
        <v>7.0000000000000001E-3</v>
      </c>
      <c r="I142" s="48">
        <v>6.4999999999999997E-3</v>
      </c>
      <c r="J142" s="48">
        <v>6.0000000000000001E-3</v>
      </c>
      <c r="K142" s="48">
        <v>5.0000000000000001E-3</v>
      </c>
      <c r="L142" s="48">
        <v>4.4999999999999997E-3</v>
      </c>
      <c r="M142" s="48">
        <v>3.5000000000000001E-3</v>
      </c>
      <c r="N142" s="2">
        <v>3.5000000000000001E-3</v>
      </c>
      <c r="O142" s="22">
        <v>3.5000000000000001E-3</v>
      </c>
    </row>
    <row r="143" spans="1:15" x14ac:dyDescent="0.15">
      <c r="A143" s="8">
        <f>LOOKUP(A1,B137:O137,B138:O138)</f>
        <v>1330000</v>
      </c>
      <c r="B143" s="20">
        <v>1.2999999999999999E-2</v>
      </c>
      <c r="C143" s="20">
        <v>1.55E-2</v>
      </c>
      <c r="D143" s="20">
        <v>1.7999999999999999E-2</v>
      </c>
      <c r="E143" s="20">
        <v>2.0500000000000001E-2</v>
      </c>
      <c r="F143" s="20">
        <v>2.35E-2</v>
      </c>
      <c r="G143" s="20">
        <v>2.35E-2</v>
      </c>
      <c r="H143" s="20">
        <v>2.35E-2</v>
      </c>
      <c r="I143" s="48">
        <v>2.35E-2</v>
      </c>
      <c r="J143" s="48">
        <v>2.35E-2</v>
      </c>
      <c r="K143" s="48">
        <v>2.35E-2</v>
      </c>
      <c r="L143" s="48">
        <v>2.35E-2</v>
      </c>
      <c r="M143" s="48">
        <v>2.35E-2</v>
      </c>
      <c r="N143" s="2">
        <v>2.35E-2</v>
      </c>
      <c r="O143" s="22">
        <v>2.35E-2</v>
      </c>
    </row>
    <row r="144" spans="1:15" x14ac:dyDescent="0.15">
      <c r="A144" s="8" t="s">
        <v>102</v>
      </c>
      <c r="B144" s="19">
        <v>1</v>
      </c>
      <c r="C144" s="19">
        <v>1</v>
      </c>
      <c r="D144" s="19">
        <v>1</v>
      </c>
      <c r="E144" s="19">
        <v>1</v>
      </c>
      <c r="F144" s="19">
        <v>1</v>
      </c>
      <c r="G144" s="19">
        <v>1</v>
      </c>
      <c r="H144" s="19">
        <v>1</v>
      </c>
      <c r="I144" s="20">
        <f>H144-(1/30)</f>
        <v>0.96666666666666667</v>
      </c>
      <c r="J144" s="20">
        <f t="shared" ref="J144:O144" si="10">I144-(1/30)</f>
        <v>0.93333333333333335</v>
      </c>
      <c r="K144" s="20">
        <f t="shared" si="10"/>
        <v>0.9</v>
      </c>
      <c r="L144" s="20">
        <f t="shared" si="10"/>
        <v>0.8666666666666667</v>
      </c>
      <c r="M144" s="173">
        <f t="shared" si="10"/>
        <v>0.83333333333333337</v>
      </c>
      <c r="N144" s="20">
        <f t="shared" si="10"/>
        <v>0.8</v>
      </c>
      <c r="O144" s="20">
        <f t="shared" si="10"/>
        <v>0.76666666666666672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O144"/>
  <sheetViews>
    <sheetView showGridLines="0" showRowColHeaders="0" zoomScale="54" workbookViewId="0"/>
  </sheetViews>
  <sheetFormatPr defaultColWidth="0.140625" defaultRowHeight="11.25" x14ac:dyDescent="0.15"/>
  <cols>
    <col min="1" max="1" width="36.140625" bestFit="1" customWidth="1"/>
    <col min="2" max="2" width="16.7109375" bestFit="1" customWidth="1"/>
    <col min="3" max="3" width="9.7109375" bestFit="1" customWidth="1"/>
    <col min="4" max="4" width="20.42578125" bestFit="1" customWidth="1"/>
    <col min="5" max="5" width="11.5703125" bestFit="1" customWidth="1"/>
    <col min="6" max="6" width="18" bestFit="1" customWidth="1"/>
    <col min="7" max="7" width="11.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00">
        <f>'1'!E5</f>
        <v>2025</v>
      </c>
      <c r="B1" s="2" t="s">
        <v>44</v>
      </c>
      <c r="C1" s="2"/>
      <c r="D1" s="3">
        <f ca="1">D12-D24-D32-D35</f>
        <v>0</v>
      </c>
      <c r="E1" s="2"/>
      <c r="F1" s="67" t="s">
        <v>45</v>
      </c>
      <c r="G1" s="68">
        <f>A4</f>
        <v>36526</v>
      </c>
      <c r="H1" s="69">
        <f>VLOOKUP(G1,F2:H50,3)</f>
        <v>69.5</v>
      </c>
      <c r="I1" s="5"/>
      <c r="J1" s="2"/>
      <c r="K1" s="2"/>
      <c r="L1" s="2"/>
      <c r="M1" s="2"/>
      <c r="N1" s="2"/>
      <c r="O1" s="2"/>
    </row>
    <row r="2" spans="1:15" ht="15" x14ac:dyDescent="0.15">
      <c r="A2" s="201">
        <f>'1'!D87</f>
        <v>0</v>
      </c>
      <c r="B2" s="2" t="s">
        <v>101</v>
      </c>
      <c r="C2" s="2"/>
      <c r="D2" s="3"/>
      <c r="E2" s="2"/>
      <c r="F2" s="51">
        <v>1</v>
      </c>
      <c r="G2" s="51">
        <v>17532</v>
      </c>
      <c r="H2" s="66">
        <v>65</v>
      </c>
      <c r="I2" s="5"/>
      <c r="J2" s="2"/>
      <c r="K2" s="2"/>
      <c r="L2" s="2"/>
      <c r="M2" s="2"/>
      <c r="N2" s="2"/>
      <c r="O2" s="2"/>
    </row>
    <row r="3" spans="1:15" x14ac:dyDescent="0.15">
      <c r="A3" s="202">
        <f>'1'!D100</f>
        <v>0</v>
      </c>
      <c r="B3" s="2" t="s">
        <v>42</v>
      </c>
      <c r="C3" s="2"/>
      <c r="D3" s="2"/>
      <c r="E3" s="2"/>
      <c r="F3" s="70">
        <f>G2</f>
        <v>17532</v>
      </c>
      <c r="G3" s="51">
        <v>17868</v>
      </c>
      <c r="H3" s="66">
        <f>65+1/12</f>
        <v>65.083333333333329</v>
      </c>
      <c r="I3" s="2"/>
      <c r="J3" s="2"/>
      <c r="K3" s="2"/>
      <c r="L3" s="2"/>
      <c r="M3" s="2"/>
      <c r="N3" s="2"/>
      <c r="O3" s="2"/>
    </row>
    <row r="4" spans="1:15" x14ac:dyDescent="0.15">
      <c r="A4" s="203">
        <f>'1'!E82</f>
        <v>36526</v>
      </c>
      <c r="B4" s="2" t="s">
        <v>45</v>
      </c>
      <c r="C4" s="2"/>
      <c r="D4" s="2"/>
      <c r="E4" s="2"/>
      <c r="F4" s="70">
        <f t="shared" ref="F4:F12" si="0">G3</f>
        <v>17868</v>
      </c>
      <c r="G4" s="51">
        <v>18203</v>
      </c>
      <c r="H4" s="66">
        <f>65+2/12</f>
        <v>65.166666666666671</v>
      </c>
      <c r="I4" s="2"/>
      <c r="J4" s="2"/>
      <c r="K4" s="2"/>
      <c r="L4" s="2"/>
      <c r="M4" s="2"/>
      <c r="N4" s="2"/>
      <c r="O4" s="2"/>
    </row>
    <row r="5" spans="1:15" x14ac:dyDescent="0.15">
      <c r="A5" s="8"/>
      <c r="B5" s="2"/>
      <c r="C5" s="2"/>
      <c r="D5" s="2"/>
      <c r="E5" s="2"/>
      <c r="F5" s="70">
        <f t="shared" si="0"/>
        <v>18203</v>
      </c>
      <c r="G5" s="51">
        <v>18537</v>
      </c>
      <c r="H5" s="66">
        <f>65+3/12</f>
        <v>65.25</v>
      </c>
      <c r="I5" s="2"/>
      <c r="J5" s="2"/>
      <c r="K5" s="2"/>
      <c r="L5" s="2"/>
      <c r="M5" s="2"/>
      <c r="N5" s="2"/>
      <c r="O5" s="2"/>
    </row>
    <row r="6" spans="1:15" x14ac:dyDescent="0.15">
      <c r="A6" s="9" t="s">
        <v>46</v>
      </c>
      <c r="B6" s="2"/>
      <c r="C6" s="2"/>
      <c r="D6" s="2"/>
      <c r="E6" s="2"/>
      <c r="F6" s="70">
        <f t="shared" si="0"/>
        <v>18537</v>
      </c>
      <c r="G6" s="51">
        <v>18810</v>
      </c>
      <c r="H6" s="66">
        <v>65.5</v>
      </c>
      <c r="I6" s="2"/>
      <c r="J6" s="2"/>
      <c r="K6" s="2"/>
      <c r="L6" s="2"/>
      <c r="M6" s="2"/>
      <c r="N6" s="2"/>
      <c r="O6" s="2"/>
    </row>
    <row r="7" spans="1:15" x14ac:dyDescent="0.15">
      <c r="A7" s="9" t="s">
        <v>47</v>
      </c>
      <c r="B7" s="10" t="s">
        <v>48</v>
      </c>
      <c r="C7" s="10" t="s">
        <v>49</v>
      </c>
      <c r="D7" s="11" t="s">
        <v>50</v>
      </c>
      <c r="E7" s="2"/>
      <c r="F7" s="70">
        <f t="shared" si="0"/>
        <v>18810</v>
      </c>
      <c r="G7" s="51">
        <v>19085</v>
      </c>
      <c r="H7" s="66">
        <v>65.75</v>
      </c>
      <c r="I7" s="11"/>
      <c r="J7" s="2"/>
      <c r="K7" s="2"/>
      <c r="L7" s="2"/>
      <c r="M7" s="2"/>
      <c r="N7" s="2"/>
      <c r="O7" s="2"/>
    </row>
    <row r="8" spans="1:15" x14ac:dyDescent="0.15">
      <c r="A8" s="8" t="s">
        <v>51</v>
      </c>
      <c r="B8" s="2">
        <f>LOOKUP($A$1,$B$73:$O$73,B74:O74)</f>
        <v>26288</v>
      </c>
      <c r="C8" s="13">
        <f ca="1">LOOKUP($A$1,$B$73:$O$73,B80:G80)</f>
        <v>0.35820000000000002</v>
      </c>
      <c r="D8" s="14">
        <f ca="1">IF($A$3&gt;$B8,$B8*$C8,$A$3*$C8)</f>
        <v>0</v>
      </c>
      <c r="E8" s="2"/>
      <c r="F8" s="70">
        <f t="shared" si="0"/>
        <v>19085</v>
      </c>
      <c r="G8" s="71">
        <v>19360</v>
      </c>
      <c r="H8" s="72">
        <v>66</v>
      </c>
      <c r="I8" s="14"/>
      <c r="J8" s="2"/>
      <c r="K8" s="2"/>
      <c r="L8" s="2"/>
      <c r="M8" s="2"/>
      <c r="N8" s="2"/>
      <c r="O8" s="2"/>
    </row>
    <row r="9" spans="1:15" x14ac:dyDescent="0.15">
      <c r="A9" s="8" t="s">
        <v>52</v>
      </c>
      <c r="B9" s="2">
        <f>LOOKUP($A$1,$B$73:$O$73,B75:O75)</f>
        <v>38441</v>
      </c>
      <c r="C9" s="13">
        <f ca="1">LOOKUP($A$1,$B$73:$O$73,B81:G81)</f>
        <v>0.35820000000000002</v>
      </c>
      <c r="D9" s="14">
        <f ca="1">MAX(IF($A$3&gt;$B9,($B9-$B8)*$C9,($A$3-$B8)*$C9),0)</f>
        <v>0</v>
      </c>
      <c r="E9" s="2"/>
      <c r="F9" s="70">
        <f t="shared" si="0"/>
        <v>19360</v>
      </c>
      <c r="G9" s="71">
        <v>19603</v>
      </c>
      <c r="H9" s="72">
        <v>66.333333333333329</v>
      </c>
      <c r="I9" s="14"/>
      <c r="J9" s="2"/>
      <c r="K9" s="2"/>
      <c r="L9" s="2"/>
      <c r="M9" s="2"/>
      <c r="N9" s="2"/>
      <c r="O9" s="2"/>
    </row>
    <row r="10" spans="1:15" x14ac:dyDescent="0.15">
      <c r="A10" s="8" t="s">
        <v>53</v>
      </c>
      <c r="B10" s="2">
        <f>LOOKUP($A$1,$B$73:$O$73,B76:O76)</f>
        <v>76817</v>
      </c>
      <c r="C10" s="13">
        <f ca="1">LOOKUP($A$1,$B$73:$O$73,B82:G82)</f>
        <v>0.37480000000000002</v>
      </c>
      <c r="D10" s="14">
        <f ca="1">MAX(IF($A$3&gt;$B10,($B10-$B9)*$C10,($A$3-$B9)*$C10),0)</f>
        <v>0</v>
      </c>
      <c r="E10" s="2"/>
      <c r="F10" s="70">
        <f t="shared" si="0"/>
        <v>19603</v>
      </c>
      <c r="G10" s="71">
        <v>19968</v>
      </c>
      <c r="H10" s="72">
        <v>66.333333333333329</v>
      </c>
      <c r="I10" s="14"/>
      <c r="J10" s="2"/>
      <c r="K10" s="2"/>
      <c r="L10" s="2"/>
      <c r="M10" s="2"/>
      <c r="N10" s="2"/>
      <c r="O10" s="2"/>
    </row>
    <row r="11" spans="1:15" x14ac:dyDescent="0.15">
      <c r="A11" s="8" t="s">
        <v>54</v>
      </c>
      <c r="B11" s="16">
        <v>1E+100</v>
      </c>
      <c r="C11" s="13">
        <f ca="1">LOOKUP($A$1,$B$73:$O$73,B83:G83)</f>
        <v>0.495</v>
      </c>
      <c r="D11" s="14">
        <f ca="1">MAX(IF($A$3&gt;$B11,($B11-$B10)*$C11,($A$3-$B10)*$C11),0)</f>
        <v>0</v>
      </c>
      <c r="E11" s="2"/>
      <c r="F11" s="70">
        <f t="shared" si="0"/>
        <v>19968</v>
      </c>
      <c r="G11" s="71">
        <v>20333</v>
      </c>
      <c r="H11" s="72">
        <v>66.333333333333329</v>
      </c>
      <c r="I11" s="14"/>
      <c r="J11" s="2"/>
      <c r="K11" s="2"/>
      <c r="L11" s="2"/>
      <c r="M11" s="2"/>
      <c r="N11" s="2"/>
      <c r="O11" s="2"/>
    </row>
    <row r="12" spans="1:15" ht="15" x14ac:dyDescent="0.15">
      <c r="A12" s="8"/>
      <c r="B12" s="2"/>
      <c r="C12" s="2"/>
      <c r="D12" s="17">
        <f ca="1">ROUNDDOWN(SUM(D8:D11),0)</f>
        <v>0</v>
      </c>
      <c r="E12" s="2"/>
      <c r="F12" s="70">
        <f t="shared" si="0"/>
        <v>20333</v>
      </c>
      <c r="G12" s="73">
        <v>20607</v>
      </c>
      <c r="H12" s="66">
        <v>66.583333333333329</v>
      </c>
      <c r="I12" s="18"/>
      <c r="J12" s="2"/>
      <c r="K12" s="2"/>
      <c r="L12" s="2"/>
      <c r="M12" s="2"/>
      <c r="N12" s="2"/>
      <c r="O12" s="2"/>
    </row>
    <row r="13" spans="1:15" ht="15" x14ac:dyDescent="0.15">
      <c r="A13" s="8"/>
      <c r="B13" s="2"/>
      <c r="C13" s="2"/>
      <c r="D13" s="18"/>
      <c r="E13" s="2"/>
      <c r="F13" s="70">
        <v>20729</v>
      </c>
      <c r="G13" s="73">
        <v>20880</v>
      </c>
      <c r="H13" s="66">
        <v>66.833333333333329</v>
      </c>
      <c r="I13" s="18"/>
      <c r="J13" s="2"/>
      <c r="K13" s="2"/>
      <c r="L13" s="2"/>
      <c r="M13" s="2"/>
      <c r="N13" s="2"/>
      <c r="O13" s="2"/>
    </row>
    <row r="14" spans="1:15" ht="15" x14ac:dyDescent="0.15">
      <c r="A14" s="9" t="s">
        <v>55</v>
      </c>
      <c r="B14" s="2">
        <v>250001</v>
      </c>
      <c r="C14" s="2"/>
      <c r="D14" s="41">
        <f>ROUNDDOWN(SUM(D15:D16),0)</f>
        <v>77500</v>
      </c>
      <c r="E14" s="2"/>
      <c r="F14" s="70">
        <f t="shared" ref="F14:F50" si="1">G13</f>
        <v>20880</v>
      </c>
      <c r="G14" s="73">
        <v>21186</v>
      </c>
      <c r="H14" s="66">
        <v>67</v>
      </c>
      <c r="I14" s="18"/>
      <c r="J14" s="2"/>
      <c r="K14" s="2"/>
      <c r="L14" s="2"/>
      <c r="M14" s="2"/>
      <c r="N14" s="2"/>
      <c r="O14" s="2"/>
    </row>
    <row r="15" spans="1:15" ht="15" x14ac:dyDescent="0.15">
      <c r="A15" s="9"/>
      <c r="B15" s="2">
        <v>250000</v>
      </c>
      <c r="C15" s="36">
        <f>LOOKUP(A1,B73:O73,B85:O85)</f>
        <v>0.31</v>
      </c>
      <c r="D15" s="2">
        <f>IF(B14&gt;B15,B15*C15,B14*C15)</f>
        <v>77500</v>
      </c>
      <c r="E15" s="2"/>
      <c r="F15" s="70">
        <v>20730</v>
      </c>
      <c r="G15" s="73">
        <v>21551</v>
      </c>
      <c r="H15" s="66">
        <v>67</v>
      </c>
      <c r="I15" s="18"/>
      <c r="J15" s="2"/>
      <c r="K15" s="2"/>
      <c r="L15" s="2"/>
      <c r="M15" s="2"/>
      <c r="N15" s="2"/>
      <c r="O15" s="2"/>
    </row>
    <row r="16" spans="1:15" ht="15" x14ac:dyDescent="0.15">
      <c r="A16" s="2"/>
      <c r="B16" s="2"/>
      <c r="C16" s="19">
        <f>MAX(C15,0.25)</f>
        <v>0.31</v>
      </c>
      <c r="D16" s="2">
        <f>IF(B14&gt;B15,(B14-B15)*C16,0)</f>
        <v>0.31</v>
      </c>
      <c r="E16" s="2"/>
      <c r="F16" s="70">
        <f t="shared" si="1"/>
        <v>21551</v>
      </c>
      <c r="G16" s="73">
        <v>21916</v>
      </c>
      <c r="H16" s="66">
        <v>67</v>
      </c>
      <c r="I16" s="18"/>
      <c r="J16" s="2"/>
      <c r="K16" s="2"/>
      <c r="L16" s="2"/>
      <c r="M16" s="2"/>
      <c r="N16" s="2"/>
      <c r="O16" s="2"/>
    </row>
    <row r="17" spans="1:15" ht="15" x14ac:dyDescent="0.15">
      <c r="A17" s="8"/>
      <c r="B17" s="2"/>
      <c r="C17" s="2"/>
      <c r="D17" s="18"/>
      <c r="E17" s="2"/>
      <c r="F17" s="70">
        <v>20731</v>
      </c>
      <c r="G17" s="73">
        <v>22282</v>
      </c>
      <c r="H17" s="66">
        <v>67</v>
      </c>
      <c r="I17" s="18"/>
      <c r="J17" s="2"/>
      <c r="K17" s="2"/>
      <c r="L17" s="2"/>
      <c r="M17" s="2"/>
      <c r="N17" s="2"/>
      <c r="O17" s="2"/>
    </row>
    <row r="18" spans="1:15" ht="15" x14ac:dyDescent="0.15">
      <c r="A18" s="9" t="s">
        <v>8</v>
      </c>
      <c r="B18" s="2"/>
      <c r="C18" s="2"/>
      <c r="D18" s="18"/>
      <c r="E18" s="2"/>
      <c r="F18" s="70">
        <f t="shared" si="1"/>
        <v>22282</v>
      </c>
      <c r="G18" s="73">
        <v>22555</v>
      </c>
      <c r="H18" s="66">
        <v>67.25</v>
      </c>
      <c r="I18" s="18"/>
      <c r="J18" s="2"/>
      <c r="K18" s="2"/>
      <c r="L18" s="2"/>
      <c r="M18" s="2"/>
      <c r="N18" s="2"/>
      <c r="O18" s="2"/>
    </row>
    <row r="19" spans="1:15" ht="15" x14ac:dyDescent="0.15">
      <c r="A19" s="201">
        <f>'1'!E131</f>
        <v>0</v>
      </c>
      <c r="B19" s="2">
        <f>LOOKUP(A1,B87:O87,B88:O88)</f>
        <v>200000</v>
      </c>
      <c r="C19" s="19">
        <f>LOOKUP(A1,B87:O87,B89:O89)</f>
        <v>0.19</v>
      </c>
      <c r="D19" s="17">
        <f>IF(A19&lt;B19,A19*C19,(B19*C19)+((A19-B19)*C20))</f>
        <v>0</v>
      </c>
      <c r="E19" s="2"/>
      <c r="F19" s="70">
        <v>20732</v>
      </c>
      <c r="G19" s="73">
        <v>22920</v>
      </c>
      <c r="H19" s="66">
        <v>67.25</v>
      </c>
      <c r="I19" s="18"/>
      <c r="J19" s="2"/>
      <c r="K19" s="2"/>
      <c r="L19" s="2"/>
      <c r="M19" s="2"/>
      <c r="N19" s="2"/>
      <c r="O19" s="2"/>
    </row>
    <row r="20" spans="1:15" ht="15" x14ac:dyDescent="0.15">
      <c r="A20" s="8"/>
      <c r="B20" s="2"/>
      <c r="C20" s="19">
        <f>LOOKUP(A1,B87:O87,B90:O90)</f>
        <v>0.25800000000000001</v>
      </c>
      <c r="D20" s="18"/>
      <c r="E20" s="2"/>
      <c r="F20" s="70">
        <f t="shared" si="1"/>
        <v>22920</v>
      </c>
      <c r="G20" s="73">
        <v>23285</v>
      </c>
      <c r="H20" s="66">
        <v>67.25</v>
      </c>
      <c r="I20" s="18"/>
      <c r="J20" s="2"/>
      <c r="K20" s="2"/>
      <c r="L20" s="2"/>
      <c r="M20" s="2"/>
      <c r="N20" s="2"/>
      <c r="O20" s="2"/>
    </row>
    <row r="21" spans="1:15" x14ac:dyDescent="0.15">
      <c r="A21" s="9" t="s">
        <v>56</v>
      </c>
      <c r="B21" s="2"/>
      <c r="C21" s="2"/>
      <c r="D21" s="2"/>
      <c r="E21" s="2"/>
      <c r="F21" s="70">
        <v>20733</v>
      </c>
      <c r="G21" s="73">
        <v>23559</v>
      </c>
      <c r="H21" s="66">
        <v>67.5</v>
      </c>
      <c r="I21" s="2"/>
      <c r="J21" s="2"/>
      <c r="K21" s="2"/>
      <c r="L21" s="2"/>
      <c r="M21" s="2"/>
      <c r="N21" s="2"/>
      <c r="O21" s="2"/>
    </row>
    <row r="22" spans="1:15" x14ac:dyDescent="0.15">
      <c r="A22" s="9" t="s">
        <v>57</v>
      </c>
      <c r="B22" s="10">
        <f>LOOKUP(A1,B73:O73,B92:O92)</f>
        <v>3068</v>
      </c>
      <c r="C22" s="10"/>
      <c r="D22" s="11"/>
      <c r="E22" s="2"/>
      <c r="F22" s="70">
        <f t="shared" si="1"/>
        <v>23559</v>
      </c>
      <c r="G22" s="73">
        <v>23924</v>
      </c>
      <c r="H22" s="66">
        <v>67.5</v>
      </c>
      <c r="I22" s="11"/>
      <c r="J22" s="2"/>
      <c r="K22" s="2"/>
      <c r="L22" s="2"/>
      <c r="M22" s="2"/>
      <c r="N22" s="2"/>
      <c r="O22" s="2"/>
    </row>
    <row r="23" spans="1:15" x14ac:dyDescent="0.15">
      <c r="A23" s="8" t="s">
        <v>58</v>
      </c>
      <c r="B23" s="2">
        <f>LOOKUP(A1,B73:O73,B94:O94)</f>
        <v>0</v>
      </c>
      <c r="C23" s="2"/>
      <c r="D23" s="14"/>
      <c r="E23" s="2"/>
      <c r="F23" s="70">
        <v>20734</v>
      </c>
      <c r="G23" s="73">
        <v>24289</v>
      </c>
      <c r="H23" s="66">
        <v>67.5</v>
      </c>
      <c r="I23" s="14"/>
      <c r="J23" s="2"/>
      <c r="K23" s="2"/>
      <c r="L23" s="2"/>
      <c r="M23" s="2"/>
      <c r="N23" s="2"/>
      <c r="O23" s="2"/>
    </row>
    <row r="24" spans="1:15" ht="15" x14ac:dyDescent="0.15">
      <c r="A24" s="8" t="s">
        <v>59</v>
      </c>
      <c r="B24" s="2">
        <f>LOOKUP($A$1,$B$73:$O$73,B74:O74)</f>
        <v>26288</v>
      </c>
      <c r="C24" s="2">
        <f>LOOKUP($A$1,$B$73:$O$73,B93:O93)</f>
        <v>6.3369999999999996E-2</v>
      </c>
      <c r="D24" s="17">
        <f ca="1">MIN(MAX(IF(A3&gt;B24,B22-((A3-B24)*C24),B22),B23),D12)</f>
        <v>0</v>
      </c>
      <c r="E24" s="2"/>
      <c r="F24" s="70">
        <f t="shared" si="1"/>
        <v>24289</v>
      </c>
      <c r="G24" s="73">
        <v>24563</v>
      </c>
      <c r="H24" s="66">
        <v>67.75</v>
      </c>
      <c r="I24" s="18"/>
      <c r="J24" s="2"/>
      <c r="K24" s="2"/>
      <c r="L24" s="2"/>
      <c r="M24" s="2"/>
      <c r="N24" s="2"/>
      <c r="O24" s="2"/>
    </row>
    <row r="25" spans="1:15" x14ac:dyDescent="0.15">
      <c r="A25" s="8"/>
      <c r="B25" s="2"/>
      <c r="C25" s="2"/>
      <c r="D25" s="20"/>
      <c r="E25" s="2"/>
      <c r="F25" s="70">
        <v>20735</v>
      </c>
      <c r="G25" s="73">
        <v>24929</v>
      </c>
      <c r="H25" s="66">
        <v>67.75</v>
      </c>
      <c r="I25" s="2"/>
      <c r="J25" s="2"/>
      <c r="K25" s="2"/>
      <c r="L25" s="2"/>
      <c r="M25" s="20"/>
      <c r="N25" s="2"/>
      <c r="O25" s="22"/>
    </row>
    <row r="26" spans="1:15" x14ac:dyDescent="0.15">
      <c r="A26" s="8"/>
      <c r="B26" s="2"/>
      <c r="C26" s="2"/>
      <c r="D26" s="20"/>
      <c r="E26" s="2"/>
      <c r="F26" s="70">
        <f t="shared" si="1"/>
        <v>24929</v>
      </c>
      <c r="G26" s="73">
        <v>25294</v>
      </c>
      <c r="H26" s="66">
        <v>67.75</v>
      </c>
      <c r="I26" s="2"/>
      <c r="J26" s="2"/>
      <c r="K26" s="2"/>
      <c r="L26" s="2"/>
      <c r="M26" s="20"/>
      <c r="N26" s="2"/>
      <c r="O26" s="22"/>
    </row>
    <row r="27" spans="1:15" x14ac:dyDescent="0.15">
      <c r="A27" s="9" t="s">
        <v>60</v>
      </c>
      <c r="B27" s="14">
        <f>A2</f>
        <v>0</v>
      </c>
      <c r="C27" s="2"/>
      <c r="D27" s="2"/>
      <c r="E27" s="2"/>
      <c r="F27" s="70">
        <v>20736</v>
      </c>
      <c r="G27" s="73">
        <v>25659</v>
      </c>
      <c r="H27" s="66">
        <v>67.75</v>
      </c>
      <c r="I27" s="2"/>
      <c r="J27" s="2"/>
      <c r="K27" s="2"/>
      <c r="L27" s="2"/>
      <c r="M27" s="2"/>
      <c r="N27" s="2"/>
      <c r="O27" s="2"/>
    </row>
    <row r="28" spans="1:15" x14ac:dyDescent="0.15">
      <c r="A28" s="8" t="s">
        <v>51</v>
      </c>
      <c r="B28" s="2">
        <f>LOOKUP($A$1,$B$96:$O$96,B97:O97)</f>
        <v>12169</v>
      </c>
      <c r="C28" s="2">
        <f>LOOKUP($A$1,$B$96:$O$96,B102:O102)</f>
        <v>8.0530000000000004E-2</v>
      </c>
      <c r="D28" s="14">
        <f>IF(B27&gt;$B28,$B28*$C28,B27*$C28)</f>
        <v>0</v>
      </c>
      <c r="E28" s="2"/>
      <c r="F28" s="70">
        <f t="shared" si="1"/>
        <v>25659</v>
      </c>
      <c r="G28" s="73">
        <v>25934</v>
      </c>
      <c r="H28" s="66">
        <v>68</v>
      </c>
      <c r="I28" s="14"/>
      <c r="J28" s="2"/>
      <c r="K28" s="2"/>
      <c r="L28" s="2"/>
      <c r="M28" s="2"/>
      <c r="N28" s="2"/>
      <c r="O28" s="2"/>
    </row>
    <row r="29" spans="1:15" x14ac:dyDescent="0.15">
      <c r="A29" s="8" t="s">
        <v>52</v>
      </c>
      <c r="B29" s="2">
        <f>LOOKUP($A$1,$B$96:$O$96,B98:O98)</f>
        <v>26288</v>
      </c>
      <c r="C29" s="2">
        <f>LOOKUP($A$1,$B$96:$O$96,B103:O103)</f>
        <v>0.30030000000000001</v>
      </c>
      <c r="D29" s="14">
        <f>MAX(IF(B27&gt;$B29,($B29-$B28)*$C29,(B27-$B28)*$C29),0)</f>
        <v>0</v>
      </c>
      <c r="E29" s="10"/>
      <c r="F29" s="70">
        <v>20737</v>
      </c>
      <c r="G29" s="73">
        <v>26299</v>
      </c>
      <c r="H29" s="66">
        <v>68</v>
      </c>
      <c r="I29" s="14"/>
      <c r="J29" s="2"/>
      <c r="K29" s="10"/>
      <c r="L29" s="10"/>
      <c r="M29" s="10"/>
      <c r="N29" s="10"/>
      <c r="O29" s="10"/>
    </row>
    <row r="30" spans="1:15" x14ac:dyDescent="0.15">
      <c r="A30" s="8" t="s">
        <v>53</v>
      </c>
      <c r="B30" s="2">
        <f>LOOKUP($A$1,$B$96:$O$96,B99:O99)</f>
        <v>43071</v>
      </c>
      <c r="C30" s="2">
        <f>LOOKUP($A$1,$B$96:$O$96,B104:O104)</f>
        <v>2.2579999999999999E-2</v>
      </c>
      <c r="D30" s="14">
        <f>MAX(IF(B27&gt;$B30,($B30-$B29)*$C30,(B27-$B29)*$C30),0)</f>
        <v>0</v>
      </c>
      <c r="E30" s="2"/>
      <c r="F30" s="70">
        <f t="shared" si="1"/>
        <v>26299</v>
      </c>
      <c r="G30" s="73">
        <v>26665</v>
      </c>
      <c r="H30" s="66">
        <v>68</v>
      </c>
      <c r="I30" s="14"/>
      <c r="J30" s="2"/>
      <c r="K30" s="2"/>
      <c r="L30" s="2"/>
      <c r="M30" s="20"/>
      <c r="N30" s="2"/>
      <c r="O30" s="22"/>
    </row>
    <row r="31" spans="1:15" x14ac:dyDescent="0.15">
      <c r="A31" s="8" t="s">
        <v>54</v>
      </c>
      <c r="B31" s="2">
        <f>LOOKUP($A$1,$B$96:$O$96,B100:O100)</f>
        <v>129078</v>
      </c>
      <c r="C31" s="2">
        <f>-1*(LOOKUP($A$1,$B$96:$O$96,B105:O105))</f>
        <v>-6.5100000000000005E-2</v>
      </c>
      <c r="D31" s="14">
        <f>IF(B27&lt;B30,0,IF(B27&gt;$B31,($B31-$B30)*$C31,(B27-$B30)*$C31))</f>
        <v>0</v>
      </c>
      <c r="E31" s="2"/>
      <c r="F31" s="70">
        <v>20738</v>
      </c>
      <c r="G31" s="73">
        <v>26938</v>
      </c>
      <c r="H31" s="66">
        <v>68.25</v>
      </c>
      <c r="I31" s="14"/>
      <c r="J31" s="2"/>
      <c r="K31" s="2"/>
      <c r="L31" s="2"/>
      <c r="M31" s="20"/>
      <c r="N31" s="2"/>
      <c r="O31" s="22"/>
    </row>
    <row r="32" spans="1:15" ht="15" x14ac:dyDescent="0.15">
      <c r="A32" s="8" t="s">
        <v>61</v>
      </c>
      <c r="B32" s="2">
        <f>LOOKUP($A$1,$B$96:$O$96,B107:O107)</f>
        <v>5599</v>
      </c>
      <c r="C32" s="2">
        <f>LOOKUP($A$1,$B$96:$O$96,B108:O108)</f>
        <v>0</v>
      </c>
      <c r="D32" s="17">
        <f>MAX(SUM(D28:D31),C32)</f>
        <v>0</v>
      </c>
      <c r="E32" s="2"/>
      <c r="F32" s="70">
        <f t="shared" si="1"/>
        <v>26938</v>
      </c>
      <c r="G32" s="73">
        <v>27303</v>
      </c>
      <c r="H32" s="66">
        <v>68.25</v>
      </c>
      <c r="I32" s="18"/>
      <c r="J32" s="2"/>
      <c r="K32" s="2"/>
      <c r="L32" s="2"/>
      <c r="M32" s="20"/>
      <c r="N32" s="2"/>
      <c r="O32" s="22"/>
    </row>
    <row r="33" spans="1:15" x14ac:dyDescent="0.15">
      <c r="A33" s="8"/>
      <c r="B33" s="2"/>
      <c r="C33" s="2"/>
      <c r="D33" s="14"/>
      <c r="E33" s="2"/>
      <c r="F33" s="70">
        <v>20739</v>
      </c>
      <c r="G33" s="73">
        <v>27668</v>
      </c>
      <c r="H33" s="66">
        <v>68.25</v>
      </c>
      <c r="I33" s="2"/>
      <c r="J33" s="2"/>
      <c r="K33" s="2"/>
      <c r="L33" s="2"/>
      <c r="M33" s="20"/>
      <c r="N33" s="2"/>
      <c r="O33" s="22"/>
    </row>
    <row r="34" spans="1:15" x14ac:dyDescent="0.15">
      <c r="A34" s="8" t="s">
        <v>118</v>
      </c>
      <c r="B34" s="205">
        <f>-'1'!D97+D37+D38+D40+D59+'1'!D92</f>
        <v>0</v>
      </c>
      <c r="C34" s="2"/>
      <c r="D34" s="14"/>
      <c r="E34" s="2"/>
      <c r="F34" s="70">
        <f t="shared" si="1"/>
        <v>27668</v>
      </c>
      <c r="G34" s="73">
        <v>27942</v>
      </c>
      <c r="H34" s="66">
        <v>68.5</v>
      </c>
      <c r="I34" s="14"/>
      <c r="J34" s="2"/>
      <c r="K34" s="2"/>
      <c r="L34" s="2"/>
      <c r="M34" s="20"/>
      <c r="N34" s="2"/>
      <c r="O34" s="22"/>
    </row>
    <row r="35" spans="1:15" ht="15" x14ac:dyDescent="0.15">
      <c r="A35" s="9" t="s">
        <v>119</v>
      </c>
      <c r="B35" s="13">
        <f>LOOKUP(A1,B73:O73,B110:O110)</f>
        <v>0.1202</v>
      </c>
      <c r="C35" s="2">
        <f>IF(MAX(A3+B34-B10,0)&gt;B34,B34,MAX((A3+B34-B10),0))</f>
        <v>0</v>
      </c>
      <c r="D35" s="23">
        <f>ROUNDDOWN(B35*C35,0)</f>
        <v>0</v>
      </c>
      <c r="E35" s="2"/>
      <c r="F35" s="70">
        <v>20740</v>
      </c>
      <c r="G35" s="73">
        <v>28307</v>
      </c>
      <c r="H35" s="66">
        <v>68.5</v>
      </c>
      <c r="I35" s="24"/>
      <c r="J35" s="2"/>
      <c r="K35" s="2"/>
      <c r="L35" s="2"/>
      <c r="M35" s="20"/>
      <c r="N35" s="2"/>
      <c r="O35" s="22"/>
    </row>
    <row r="36" spans="1:15" x14ac:dyDescent="0.15">
      <c r="A36" s="8"/>
      <c r="B36" s="2"/>
      <c r="C36" s="2"/>
      <c r="D36" s="20"/>
      <c r="E36" s="2"/>
      <c r="F36" s="70">
        <f t="shared" si="1"/>
        <v>28307</v>
      </c>
      <c r="G36" s="73">
        <v>28672</v>
      </c>
      <c r="H36" s="66">
        <v>68.5</v>
      </c>
      <c r="I36" s="2"/>
      <c r="J36" s="2"/>
      <c r="K36" s="2"/>
      <c r="L36" s="2"/>
      <c r="M36" s="20"/>
      <c r="N36" s="2"/>
      <c r="O36" s="22"/>
    </row>
    <row r="37" spans="1:15" ht="15" x14ac:dyDescent="0.15">
      <c r="A37" s="9" t="s">
        <v>63</v>
      </c>
      <c r="B37" s="206" t="b">
        <v>0</v>
      </c>
      <c r="C37" s="2">
        <f>IF(B37,LOOKUP(A1,B129:O129,B130:O130),0)</f>
        <v>0</v>
      </c>
      <c r="D37" s="25">
        <f>MIN(C37,A2)</f>
        <v>0</v>
      </c>
      <c r="E37" s="2"/>
      <c r="F37" s="70">
        <v>20741</v>
      </c>
      <c r="G37" s="73">
        <v>29037</v>
      </c>
      <c r="H37" s="66">
        <v>68.5</v>
      </c>
      <c r="I37" s="2"/>
      <c r="J37" s="2"/>
      <c r="K37" s="2"/>
      <c r="L37" s="2"/>
      <c r="M37" s="20"/>
      <c r="N37" s="2"/>
      <c r="O37" s="22"/>
    </row>
    <row r="38" spans="1:15" ht="15" x14ac:dyDescent="0.15">
      <c r="A38" s="9" t="s">
        <v>64</v>
      </c>
      <c r="B38" s="206" t="b">
        <v>0</v>
      </c>
      <c r="C38" s="2"/>
      <c r="D38" s="25">
        <f>IF(B37*B38,LOOKUP(A1,B129:O129,B131:O131),0)</f>
        <v>0</v>
      </c>
      <c r="E38" s="2"/>
      <c r="F38" s="70">
        <f t="shared" si="1"/>
        <v>29037</v>
      </c>
      <c r="G38" s="73">
        <v>29312</v>
      </c>
      <c r="H38" s="66">
        <v>68.75</v>
      </c>
      <c r="I38" s="2"/>
      <c r="J38" s="2"/>
      <c r="K38" s="2"/>
      <c r="L38" s="2"/>
      <c r="M38" s="20"/>
      <c r="N38" s="2"/>
      <c r="O38" s="22"/>
    </row>
    <row r="39" spans="1:15" ht="15" x14ac:dyDescent="0.15">
      <c r="A39" s="9"/>
      <c r="B39" s="26"/>
      <c r="C39" s="2"/>
      <c r="D39" s="27"/>
      <c r="E39" s="2"/>
      <c r="F39" s="70">
        <v>20742</v>
      </c>
      <c r="G39" s="73">
        <v>29677</v>
      </c>
      <c r="H39" s="66">
        <v>68.75</v>
      </c>
      <c r="I39" s="2"/>
      <c r="J39" s="2"/>
      <c r="K39" s="2"/>
      <c r="L39" s="2"/>
      <c r="M39" s="20"/>
      <c r="N39" s="2"/>
      <c r="O39" s="22"/>
    </row>
    <row r="40" spans="1:15" ht="15" x14ac:dyDescent="0.15">
      <c r="A40" s="9" t="s">
        <v>65</v>
      </c>
      <c r="B40" s="207">
        <f>A2-D37-D38-D50</f>
        <v>0</v>
      </c>
      <c r="C40" s="2">
        <f>LOOKUP(A1,B134:O134,B135:O135)</f>
        <v>0.127</v>
      </c>
      <c r="D40" s="29">
        <f>ROUNDUP(C40*B40,0)</f>
        <v>0</v>
      </c>
      <c r="E40" s="2"/>
      <c r="F40" s="70">
        <f t="shared" si="1"/>
        <v>29677</v>
      </c>
      <c r="G40" s="73">
        <v>30042</v>
      </c>
      <c r="H40" s="66">
        <v>68.75</v>
      </c>
      <c r="I40" s="2"/>
      <c r="J40" s="2"/>
      <c r="K40" s="2"/>
      <c r="L40" s="2"/>
      <c r="M40" s="20"/>
      <c r="N40" s="2"/>
      <c r="O40" s="22"/>
    </row>
    <row r="41" spans="1:15" ht="15" x14ac:dyDescent="0.15">
      <c r="A41" s="8"/>
      <c r="B41" s="26"/>
      <c r="C41" s="2"/>
      <c r="D41" s="27"/>
      <c r="E41" s="2"/>
      <c r="F41" s="70">
        <v>20743</v>
      </c>
      <c r="G41" s="73">
        <v>30317</v>
      </c>
      <c r="H41" s="66">
        <v>69</v>
      </c>
      <c r="I41" s="2"/>
      <c r="J41" s="2"/>
      <c r="K41" s="2"/>
      <c r="L41" s="2"/>
      <c r="M41" s="20"/>
      <c r="N41" s="2"/>
      <c r="O41" s="22"/>
    </row>
    <row r="42" spans="1:15" x14ac:dyDescent="0.15">
      <c r="A42" s="9" t="s">
        <v>66</v>
      </c>
      <c r="B42" s="2">
        <f>LOOKUP(A1,B113:O113,B114:O114)</f>
        <v>6145</v>
      </c>
      <c r="C42" s="2">
        <f>LOOKUP(A1,B113:O113,B116:O116)</f>
        <v>0.1145</v>
      </c>
      <c r="D42" s="28">
        <f>ROUNDUP(IF(A3&gt;B42,(C42*(A3-B42))+B43,B43),0)</f>
        <v>0</v>
      </c>
      <c r="E42" s="2"/>
      <c r="F42" s="70">
        <f t="shared" si="1"/>
        <v>30317</v>
      </c>
      <c r="G42" s="73">
        <v>30682</v>
      </c>
      <c r="H42" s="66">
        <v>69</v>
      </c>
      <c r="I42" s="2"/>
      <c r="J42" s="2"/>
      <c r="K42" s="2"/>
      <c r="L42" s="2"/>
      <c r="M42" s="20"/>
      <c r="N42" s="2"/>
      <c r="O42" s="22"/>
    </row>
    <row r="43" spans="1:15" x14ac:dyDescent="0.15">
      <c r="A43" s="8" t="s">
        <v>67</v>
      </c>
      <c r="B43" s="2">
        <f>LOOKUP($A$1,$B$113:$O$113,B117:O117)</f>
        <v>0</v>
      </c>
      <c r="C43" s="2"/>
      <c r="D43" s="28"/>
      <c r="E43" s="2"/>
      <c r="F43" s="70">
        <v>20744</v>
      </c>
      <c r="G43" s="73">
        <v>31048</v>
      </c>
      <c r="H43" s="66">
        <v>69</v>
      </c>
      <c r="I43" s="2"/>
      <c r="J43" s="2"/>
      <c r="K43" s="2"/>
      <c r="L43" s="2"/>
      <c r="M43" s="20"/>
      <c r="N43" s="2"/>
      <c r="O43" s="22"/>
    </row>
    <row r="44" spans="1:15" ht="15" x14ac:dyDescent="0.15">
      <c r="A44" s="8" t="s">
        <v>68</v>
      </c>
      <c r="B44" s="2">
        <f>LOOKUP($A$1,$B$113:$O$113,B118:O118)</f>
        <v>2986</v>
      </c>
      <c r="C44" s="2"/>
      <c r="D44" s="23">
        <f>MIN(D42,B44)</f>
        <v>0</v>
      </c>
      <c r="E44" s="2"/>
      <c r="F44" s="70">
        <f t="shared" si="1"/>
        <v>31048</v>
      </c>
      <c r="G44" s="73">
        <v>31413</v>
      </c>
      <c r="H44" s="66">
        <v>69</v>
      </c>
      <c r="I44" s="2"/>
      <c r="J44" s="2"/>
      <c r="K44" s="2"/>
      <c r="L44" s="2"/>
      <c r="M44" s="20"/>
      <c r="N44" s="2"/>
      <c r="O44" s="22"/>
    </row>
    <row r="45" spans="1:15" x14ac:dyDescent="0.15">
      <c r="A45" s="8"/>
      <c r="B45" s="2"/>
      <c r="C45" s="2"/>
      <c r="D45" s="20"/>
      <c r="E45" s="2"/>
      <c r="F45" s="70">
        <v>20745</v>
      </c>
      <c r="G45" s="73">
        <v>31686</v>
      </c>
      <c r="H45" s="66">
        <v>69.25</v>
      </c>
      <c r="I45" s="2"/>
      <c r="J45" s="2"/>
      <c r="K45" s="2"/>
      <c r="L45" s="2"/>
      <c r="M45" s="20"/>
      <c r="N45" s="2"/>
      <c r="O45" s="22"/>
    </row>
    <row r="46" spans="1:15" ht="15" x14ac:dyDescent="0.15">
      <c r="A46" s="9" t="s">
        <v>69</v>
      </c>
      <c r="B46" s="2">
        <f>LOOKUP(A1,B120:O120,B123:O123)</f>
        <v>75864</v>
      </c>
      <c r="C46" s="2">
        <f>LOOKUP(A1,B120:O120,B122:O122)</f>
        <v>5.2600000000000001E-2</v>
      </c>
      <c r="D46" s="23">
        <f>IF($A$3&gt;B46,B46*C46,A3*C46)</f>
        <v>0</v>
      </c>
      <c r="E46" s="2"/>
      <c r="F46" s="70">
        <f t="shared" si="1"/>
        <v>31686</v>
      </c>
      <c r="G46" s="73">
        <v>32051</v>
      </c>
      <c r="H46" s="66">
        <v>69.25</v>
      </c>
      <c r="I46" s="2"/>
      <c r="J46" s="2"/>
      <c r="K46" s="2"/>
      <c r="L46" s="2"/>
      <c r="M46" s="20"/>
      <c r="N46" s="2"/>
      <c r="O46" s="22"/>
    </row>
    <row r="47" spans="1:15" ht="15" x14ac:dyDescent="0.15">
      <c r="A47" s="9" t="s">
        <v>70</v>
      </c>
      <c r="B47" s="2">
        <f>LOOKUP(A1,B120:O120,B123:O123)</f>
        <v>75864</v>
      </c>
      <c r="C47" s="2">
        <f>LOOKUP(A1,B120:O120,B121:O121)</f>
        <v>6.5100000000000005E-2</v>
      </c>
      <c r="D47" s="23">
        <f>IF($A$3&gt;B47,B47*C47,A3*C47)</f>
        <v>0</v>
      </c>
      <c r="E47" s="2"/>
      <c r="F47" s="70">
        <v>20746</v>
      </c>
      <c r="G47" s="73">
        <v>32417</v>
      </c>
      <c r="H47" s="66">
        <v>69.25</v>
      </c>
      <c r="I47" s="2"/>
      <c r="J47" s="2"/>
      <c r="K47" s="2"/>
      <c r="L47" s="2"/>
      <c r="M47" s="20"/>
      <c r="N47" s="2"/>
      <c r="O47" s="22"/>
    </row>
    <row r="48" spans="1:15" x14ac:dyDescent="0.15">
      <c r="A48" s="8"/>
      <c r="B48" s="2"/>
      <c r="C48" s="2"/>
      <c r="D48" s="20"/>
      <c r="E48" s="2"/>
      <c r="F48" s="70">
        <f t="shared" si="1"/>
        <v>32417</v>
      </c>
      <c r="G48" s="73">
        <v>32782</v>
      </c>
      <c r="H48" s="66">
        <v>69.25</v>
      </c>
      <c r="I48" s="2"/>
      <c r="J48" s="2"/>
      <c r="K48" s="2"/>
      <c r="L48" s="2"/>
      <c r="M48" s="20"/>
      <c r="N48" s="2"/>
      <c r="O48" s="22"/>
    </row>
    <row r="49" spans="1:15" x14ac:dyDescent="0.15">
      <c r="A49" s="9" t="s">
        <v>71</v>
      </c>
      <c r="B49" s="2">
        <f>LOOKUP(A1,B125:O125,B127:O127)</f>
        <v>0</v>
      </c>
      <c r="C49" s="2">
        <f>LOOKUP(A1,B125:O125,B126:O126)</f>
        <v>0</v>
      </c>
      <c r="D49" s="42">
        <f>MIN(A2*C49,B49)</f>
        <v>0</v>
      </c>
      <c r="E49" s="2"/>
      <c r="F49" s="70">
        <v>20747</v>
      </c>
      <c r="G49" s="73">
        <v>33055</v>
      </c>
      <c r="H49" s="66">
        <v>69.5</v>
      </c>
      <c r="I49" s="2"/>
      <c r="J49" s="2"/>
      <c r="K49" s="2"/>
      <c r="L49" s="2"/>
      <c r="M49" s="20"/>
      <c r="N49" s="2"/>
      <c r="O49" s="22"/>
    </row>
    <row r="50" spans="1:15" ht="15" x14ac:dyDescent="0.15">
      <c r="A50" s="8" t="b">
        <v>0</v>
      </c>
      <c r="B50" s="2">
        <f>B37*A50</f>
        <v>0</v>
      </c>
      <c r="C50" s="2"/>
      <c r="D50" s="23">
        <f>IF(B50=1,D49,0)</f>
        <v>0</v>
      </c>
      <c r="E50" s="2"/>
      <c r="F50" s="70">
        <f t="shared" si="1"/>
        <v>33055</v>
      </c>
      <c r="G50" s="74"/>
      <c r="H50" s="66">
        <v>69.5</v>
      </c>
      <c r="I50" s="2"/>
      <c r="J50" s="2"/>
      <c r="K50" s="2"/>
      <c r="L50" s="2"/>
      <c r="M50" s="20"/>
      <c r="N50" s="2"/>
      <c r="O50" s="22"/>
    </row>
    <row r="51" spans="1:15" x14ac:dyDescent="0.15">
      <c r="A51" s="8"/>
      <c r="B51" s="2"/>
      <c r="C51" s="2"/>
      <c r="D51" s="20"/>
      <c r="E51" s="2"/>
      <c r="F51" s="22"/>
      <c r="G51" s="14"/>
      <c r="H51" s="14"/>
      <c r="I51" s="2"/>
      <c r="J51" s="2"/>
      <c r="K51" s="2"/>
      <c r="L51" s="2"/>
      <c r="M51" s="20"/>
      <c r="N51" s="2"/>
      <c r="O51" s="22"/>
    </row>
    <row r="52" spans="1:15" ht="15" x14ac:dyDescent="0.15">
      <c r="A52" s="9" t="s">
        <v>6</v>
      </c>
      <c r="B52" s="204">
        <f>'1'!E8</f>
        <v>0</v>
      </c>
      <c r="C52" s="2"/>
      <c r="D52" s="17">
        <f>SUM(D53:D57)</f>
        <v>0</v>
      </c>
      <c r="E52" s="2"/>
      <c r="F52" s="22"/>
      <c r="G52" s="14"/>
      <c r="H52" s="14"/>
      <c r="I52" s="2"/>
      <c r="J52" s="2"/>
      <c r="K52" s="2"/>
      <c r="L52" s="2"/>
      <c r="M52" s="20"/>
      <c r="N52" s="2"/>
      <c r="O52" s="22"/>
    </row>
    <row r="53" spans="1:15" x14ac:dyDescent="0.15">
      <c r="A53" s="8" t="s">
        <v>51</v>
      </c>
      <c r="B53" s="2">
        <f>A139</f>
        <v>12500</v>
      </c>
      <c r="C53" s="13">
        <f>LOOKUP($A$1,$B$137:$O$137,B139:O139)</f>
        <v>1E-3</v>
      </c>
      <c r="D53" s="2">
        <f>IF($B$52&lt;B53,0,IF($B$52&lt;B54,$B$52*C53,0))</f>
        <v>0</v>
      </c>
      <c r="E53" s="2"/>
      <c r="F53" s="22"/>
      <c r="G53" s="14"/>
      <c r="H53" s="14"/>
      <c r="I53" s="2"/>
      <c r="J53" s="2"/>
      <c r="K53" s="2"/>
      <c r="L53" s="2"/>
      <c r="M53" s="20"/>
      <c r="N53" s="2"/>
      <c r="O53" s="22"/>
    </row>
    <row r="54" spans="1:15" x14ac:dyDescent="0.15">
      <c r="A54" s="8" t="s">
        <v>52</v>
      </c>
      <c r="B54" s="2">
        <f>A140</f>
        <v>25000</v>
      </c>
      <c r="C54" s="13">
        <f>LOOKUP($A$1,$B$137:$O$137,B140:O140)</f>
        <v>2E-3</v>
      </c>
      <c r="D54" s="2">
        <f>IF($B$52&lt;B54,0,IF($B$52&lt;B55,$B$52*C54,0))</f>
        <v>0</v>
      </c>
      <c r="E54" s="2"/>
      <c r="F54" s="22"/>
      <c r="G54" s="14"/>
      <c r="H54" s="14"/>
      <c r="I54" s="2"/>
      <c r="J54" s="2"/>
      <c r="K54" s="2"/>
      <c r="L54" s="2"/>
      <c r="M54" s="20"/>
      <c r="N54" s="2"/>
      <c r="O54" s="22"/>
    </row>
    <row r="55" spans="1:15" x14ac:dyDescent="0.15">
      <c r="A55" s="8" t="s">
        <v>53</v>
      </c>
      <c r="B55" s="2">
        <f>A141</f>
        <v>50000</v>
      </c>
      <c r="C55" s="13">
        <f>LOOKUP($A$1,$B$137:$O$137,B141:O141)</f>
        <v>2.5000000000000001E-3</v>
      </c>
      <c r="D55" s="2">
        <f>IF($B$52&lt;B55,0,IF($B$52&lt;B56,$B$52*C55,0))</f>
        <v>0</v>
      </c>
      <c r="E55" s="2"/>
      <c r="F55" s="22"/>
      <c r="G55" s="14"/>
      <c r="H55" s="14"/>
      <c r="I55" s="2"/>
      <c r="J55" s="2"/>
      <c r="K55" s="2"/>
      <c r="L55" s="2"/>
      <c r="M55" s="20"/>
      <c r="N55" s="2"/>
      <c r="O55" s="22"/>
    </row>
    <row r="56" spans="1:15" x14ac:dyDescent="0.15">
      <c r="A56" s="8" t="s">
        <v>54</v>
      </c>
      <c r="B56" s="2">
        <f>A142</f>
        <v>75000</v>
      </c>
      <c r="C56" s="13">
        <f>LOOKUP($A$1,$B$137:$O$137,B142:O142)</f>
        <v>3.5000000000000001E-3</v>
      </c>
      <c r="D56" s="2">
        <f>IF($B$52&lt;B56,0,IF($B$52&lt;B57,$B$52*C56,0))</f>
        <v>0</v>
      </c>
      <c r="E56" s="2"/>
      <c r="F56" s="22"/>
      <c r="G56" s="14"/>
      <c r="H56" s="14"/>
      <c r="I56" s="2"/>
      <c r="J56" s="2"/>
      <c r="K56" s="2"/>
      <c r="L56" s="2"/>
      <c r="M56" s="20"/>
      <c r="N56" s="2"/>
      <c r="O56" s="22"/>
    </row>
    <row r="57" spans="1:15" x14ac:dyDescent="0.15">
      <c r="A57" s="8" t="s">
        <v>72</v>
      </c>
      <c r="B57" s="2">
        <f>A143</f>
        <v>1330000</v>
      </c>
      <c r="C57" s="13">
        <f>LOOKUP($A$1,$B$137:$O$137,B143:O143)</f>
        <v>2.35E-2</v>
      </c>
      <c r="D57" s="2">
        <f>IF($B$52&gt;B57,(C56*B57)+(C57*(B52-B57)),0)</f>
        <v>0</v>
      </c>
      <c r="E57" s="2"/>
      <c r="F57" s="22"/>
      <c r="G57" s="14"/>
      <c r="H57" s="14"/>
      <c r="I57" s="2"/>
      <c r="J57" s="2"/>
      <c r="K57" s="2"/>
      <c r="L57" s="2"/>
      <c r="M57" s="20"/>
      <c r="N57" s="2"/>
      <c r="O57" s="22"/>
    </row>
    <row r="58" spans="1:15" x14ac:dyDescent="0.15">
      <c r="A58" s="8"/>
      <c r="B58" s="2"/>
      <c r="C58" s="2"/>
      <c r="D58" s="20"/>
      <c r="E58" s="2"/>
      <c r="F58" s="22"/>
      <c r="G58" s="14"/>
      <c r="H58" s="14"/>
      <c r="I58" s="2"/>
      <c r="J58" s="2"/>
      <c r="K58" s="2"/>
      <c r="L58" s="2"/>
      <c r="M58" s="20"/>
      <c r="N58" s="2"/>
      <c r="O58" s="22"/>
    </row>
    <row r="59" spans="1:15" ht="15" x14ac:dyDescent="0.15">
      <c r="A59" s="9" t="s">
        <v>19</v>
      </c>
      <c r="B59" s="204"/>
      <c r="C59" s="2"/>
      <c r="D59" s="29">
        <f>SUM(D60:D63)</f>
        <v>0</v>
      </c>
      <c r="E59" s="2"/>
      <c r="F59" s="22"/>
      <c r="G59" s="14"/>
      <c r="H59" s="14"/>
      <c r="I59" s="2"/>
      <c r="J59" s="2"/>
      <c r="K59" s="2"/>
      <c r="L59" s="2"/>
      <c r="M59" s="20"/>
      <c r="N59" s="2"/>
      <c r="O59" s="22"/>
    </row>
    <row r="60" spans="1:15" x14ac:dyDescent="0.15">
      <c r="A60" s="8" t="s">
        <v>51</v>
      </c>
      <c r="B60" s="2">
        <v>525</v>
      </c>
      <c r="C60" s="20">
        <v>1.2500000000000001E-2</v>
      </c>
      <c r="D60" s="2">
        <f>IF($B$59&lt;B60,0,IF($B$59&lt;B61,$A$2*C60,0))</f>
        <v>0</v>
      </c>
      <c r="E60" s="2"/>
      <c r="F60" s="22"/>
      <c r="G60" s="14"/>
      <c r="H60" s="14"/>
      <c r="I60" s="2"/>
      <c r="J60" s="2"/>
      <c r="K60" s="2"/>
      <c r="L60" s="2"/>
      <c r="M60" s="20"/>
      <c r="N60" s="2"/>
      <c r="O60" s="22"/>
    </row>
    <row r="61" spans="1:15" x14ac:dyDescent="0.15">
      <c r="A61" s="8" t="s">
        <v>52</v>
      </c>
      <c r="B61" s="2">
        <v>875</v>
      </c>
      <c r="C61" s="19">
        <v>0.02</v>
      </c>
      <c r="D61" s="2">
        <f>IF($B$59&lt;B61,0,IF($B$59&lt;B62,$A$2*C61,0))</f>
        <v>0</v>
      </c>
      <c r="E61" s="2"/>
      <c r="F61" s="22"/>
      <c r="G61" s="14"/>
      <c r="H61" s="14"/>
      <c r="I61" s="2"/>
      <c r="J61" s="2"/>
      <c r="K61" s="2"/>
      <c r="L61" s="2"/>
      <c r="M61" s="20"/>
      <c r="N61" s="2"/>
      <c r="O61" s="22"/>
    </row>
    <row r="62" spans="1:15" x14ac:dyDescent="0.15">
      <c r="A62" s="8" t="s">
        <v>53</v>
      </c>
      <c r="B62" s="2">
        <v>1225</v>
      </c>
      <c r="C62" s="19">
        <v>0.03</v>
      </c>
      <c r="D62" s="2">
        <f>IF($B$59&lt;B62,0,IF($B$59&lt;B63,$A$2*C62,0))</f>
        <v>0</v>
      </c>
      <c r="E62" s="2"/>
      <c r="F62" s="22"/>
      <c r="G62" s="14"/>
      <c r="H62" s="14"/>
      <c r="I62" s="2"/>
      <c r="J62" s="2"/>
      <c r="K62" s="2"/>
      <c r="L62" s="2"/>
      <c r="M62" s="20"/>
      <c r="N62" s="2"/>
      <c r="O62" s="22"/>
    </row>
    <row r="63" spans="1:15" x14ac:dyDescent="0.15">
      <c r="A63" s="8" t="s">
        <v>54</v>
      </c>
      <c r="B63" s="2">
        <v>1750</v>
      </c>
      <c r="C63" s="19">
        <v>0.04</v>
      </c>
      <c r="D63" s="2">
        <f>IF($B$59&lt;B63,0,$A$2*C63)</f>
        <v>0</v>
      </c>
      <c r="E63" s="2"/>
      <c r="F63" s="22"/>
      <c r="G63" s="14"/>
      <c r="H63" s="14"/>
      <c r="I63" s="2"/>
      <c r="J63" s="2"/>
      <c r="K63" s="2"/>
      <c r="L63" s="2"/>
      <c r="M63" s="20"/>
      <c r="N63" s="2"/>
      <c r="O63" s="22"/>
    </row>
    <row r="64" spans="1:15" x14ac:dyDescent="0.15">
      <c r="A64" s="8"/>
      <c r="B64" s="2"/>
      <c r="C64" s="2"/>
      <c r="D64" s="20"/>
      <c r="E64" s="2"/>
      <c r="F64" s="22"/>
      <c r="G64" s="14"/>
      <c r="H64" s="14"/>
      <c r="I64" s="2"/>
      <c r="J64" s="2"/>
      <c r="K64" s="2"/>
      <c r="L64" s="2"/>
      <c r="M64" s="20"/>
      <c r="N64" s="2"/>
      <c r="O64" s="22"/>
    </row>
    <row r="65" spans="1:15" ht="15" x14ac:dyDescent="0.15">
      <c r="A65" s="9" t="s">
        <v>73</v>
      </c>
      <c r="B65" s="2"/>
      <c r="C65" s="2"/>
      <c r="D65" s="30">
        <f ca="1">(1/(1+B66))^(B68-B67)</f>
        <v>1</v>
      </c>
      <c r="E65" s="2"/>
      <c r="F65" s="22"/>
      <c r="G65" s="14"/>
      <c r="H65" s="14"/>
      <c r="I65" s="2"/>
      <c r="J65" s="2"/>
      <c r="K65" s="2"/>
      <c r="L65" s="2"/>
      <c r="M65" s="20"/>
      <c r="N65" s="2"/>
      <c r="O65" s="22"/>
    </row>
    <row r="66" spans="1:15" x14ac:dyDescent="0.15">
      <c r="A66" s="8" t="s">
        <v>74</v>
      </c>
      <c r="B66" s="208">
        <f>'1'!E16</f>
        <v>0</v>
      </c>
      <c r="C66" s="2"/>
      <c r="D66" s="20"/>
      <c r="E66" s="2"/>
      <c r="F66" s="22"/>
      <c r="G66" s="14"/>
      <c r="H66" s="14"/>
      <c r="I66" s="2"/>
      <c r="J66" s="2"/>
      <c r="K66" s="2"/>
      <c r="L66" s="2"/>
      <c r="M66" s="20"/>
      <c r="N66" s="2"/>
      <c r="O66" s="22"/>
    </row>
    <row r="67" spans="1:15" x14ac:dyDescent="0.15">
      <c r="A67" s="8" t="s">
        <v>75</v>
      </c>
      <c r="B67" s="210">
        <f ca="1">ROUNDDOWN(D67,0)</f>
        <v>25</v>
      </c>
      <c r="C67" s="43">
        <f ca="1">TODAY()</f>
        <v>45750</v>
      </c>
      <c r="D67" s="44">
        <f ca="1">YEARFRAC(A4,C67)</f>
        <v>25.255555555555556</v>
      </c>
      <c r="E67" s="2"/>
      <c r="F67" s="22"/>
      <c r="G67" s="14"/>
      <c r="H67" s="14"/>
      <c r="I67" s="2"/>
      <c r="J67" s="2"/>
      <c r="K67" s="2"/>
      <c r="L67" s="2"/>
      <c r="M67" s="20"/>
      <c r="N67" s="2"/>
      <c r="O67" s="22"/>
    </row>
    <row r="68" spans="1:15" x14ac:dyDescent="0.15">
      <c r="A68" s="8" t="s">
        <v>76</v>
      </c>
      <c r="B68" s="209">
        <f>H1</f>
        <v>69.5</v>
      </c>
      <c r="C68" s="2"/>
      <c r="D68" s="20"/>
      <c r="E68" s="2"/>
      <c r="F68" s="22"/>
      <c r="G68" s="14"/>
      <c r="H68" s="14"/>
      <c r="I68" s="2"/>
      <c r="J68" s="2"/>
      <c r="K68" s="2"/>
      <c r="L68" s="2"/>
      <c r="M68" s="20"/>
      <c r="N68" s="2"/>
      <c r="O68" s="22"/>
    </row>
    <row r="69" spans="1:15" x14ac:dyDescent="0.15">
      <c r="A69" s="8"/>
      <c r="B69" s="2"/>
      <c r="C69" s="2"/>
      <c r="D69" s="20"/>
      <c r="E69" s="2"/>
      <c r="F69" s="22"/>
      <c r="G69" s="14"/>
      <c r="H69" s="14"/>
      <c r="I69" s="2"/>
      <c r="J69" s="2"/>
      <c r="K69" s="2"/>
      <c r="L69" s="2"/>
      <c r="M69" s="20"/>
      <c r="N69" s="2"/>
      <c r="O69" s="22"/>
    </row>
    <row r="70" spans="1:15" ht="15" x14ac:dyDescent="0.15">
      <c r="A70" s="31" t="s">
        <v>77</v>
      </c>
      <c r="B70" s="2"/>
      <c r="C70" s="2"/>
      <c r="D70" s="2"/>
      <c r="E70" s="2"/>
      <c r="F70" s="2"/>
      <c r="G70" s="32"/>
      <c r="H70" s="32"/>
      <c r="I70" s="2"/>
      <c r="J70" s="2"/>
      <c r="K70" s="2"/>
      <c r="L70" s="2"/>
      <c r="M70" s="2"/>
      <c r="N70" s="2"/>
      <c r="O70" s="2"/>
    </row>
    <row r="71" spans="1:15" x14ac:dyDescent="0.15">
      <c r="A71" s="8"/>
      <c r="B71" s="2"/>
      <c r="C71" s="2"/>
      <c r="D71" s="2"/>
      <c r="E71" s="2"/>
      <c r="F71" s="2"/>
      <c r="G71" s="2"/>
      <c r="H71" s="2"/>
      <c r="I71" s="2"/>
      <c r="J71" s="2"/>
      <c r="K71" s="2"/>
      <c r="L71" s="2"/>
      <c r="M71" s="2"/>
      <c r="N71" s="2"/>
      <c r="O71" s="2"/>
    </row>
    <row r="72" spans="1:15" x14ac:dyDescent="0.15">
      <c r="A72" s="9" t="s">
        <v>26</v>
      </c>
      <c r="B72" s="10"/>
      <c r="C72" s="10"/>
      <c r="D72" s="10"/>
      <c r="E72" s="11"/>
      <c r="F72" s="11"/>
      <c r="G72" s="2"/>
      <c r="H72" s="10"/>
      <c r="I72" s="10"/>
      <c r="J72" s="10"/>
      <c r="K72" s="10"/>
      <c r="L72" s="10"/>
      <c r="M72" s="10"/>
      <c r="N72" s="11"/>
      <c r="O72" s="11"/>
    </row>
    <row r="73" spans="1:15" x14ac:dyDescent="0.15">
      <c r="A73" s="9"/>
      <c r="B73" s="33">
        <v>2012</v>
      </c>
      <c r="C73" s="33">
        <v>2013</v>
      </c>
      <c r="D73" s="33">
        <v>2014</v>
      </c>
      <c r="E73" s="33">
        <v>2015</v>
      </c>
      <c r="F73" s="33">
        <v>2016</v>
      </c>
      <c r="G73" s="33">
        <v>2017</v>
      </c>
      <c r="H73" s="33">
        <v>2018</v>
      </c>
      <c r="I73" s="33">
        <v>2019</v>
      </c>
      <c r="J73" s="33">
        <v>2020</v>
      </c>
      <c r="K73" s="33">
        <v>2021</v>
      </c>
      <c r="L73" s="33">
        <v>2022</v>
      </c>
      <c r="M73" s="171">
        <v>2023</v>
      </c>
      <c r="N73" s="33">
        <v>2024</v>
      </c>
      <c r="O73" s="33">
        <v>2025</v>
      </c>
    </row>
    <row r="74" spans="1:15" x14ac:dyDescent="0.15">
      <c r="A74" s="8" t="s">
        <v>78</v>
      </c>
      <c r="B74" s="50">
        <v>18945</v>
      </c>
      <c r="C74" s="50">
        <v>19645</v>
      </c>
      <c r="D74" s="50">
        <v>19645</v>
      </c>
      <c r="E74" s="50">
        <v>19822</v>
      </c>
      <c r="F74" s="50">
        <v>19922</v>
      </c>
      <c r="G74" s="50">
        <v>19982</v>
      </c>
      <c r="H74" s="50">
        <v>20142</v>
      </c>
      <c r="I74" s="50">
        <v>20384</v>
      </c>
      <c r="J74" s="50">
        <v>20711</v>
      </c>
      <c r="K74" s="50">
        <v>21043</v>
      </c>
      <c r="L74" s="50">
        <v>21317</v>
      </c>
      <c r="M74" s="172">
        <v>22660</v>
      </c>
      <c r="N74" s="50">
        <v>24821</v>
      </c>
      <c r="O74" s="50">
        <v>26288</v>
      </c>
    </row>
    <row r="75" spans="1:15" x14ac:dyDescent="0.15">
      <c r="A75" s="8"/>
      <c r="B75" s="50">
        <f>IF($A$4&lt;1946-1-1,34055,33863)</f>
        <v>33863</v>
      </c>
      <c r="C75" s="50">
        <f>IF($A$4&lt;1946-1-1,33555,33363)</f>
        <v>33363</v>
      </c>
      <c r="D75" s="50">
        <f>IF($A$4&lt;1946-1-1,33555,33363)</f>
        <v>33363</v>
      </c>
      <c r="E75" s="50">
        <f>IF($A$4&lt;1946-1-1,33857,33589)</f>
        <v>33589</v>
      </c>
      <c r="F75" s="50">
        <f>IF($A$4&lt;1946-1-1,34027,33715)</f>
        <v>33715</v>
      </c>
      <c r="G75" s="50">
        <f>IF($A$4&lt;1946-1-1,34130,33791)</f>
        <v>33791</v>
      </c>
      <c r="H75" s="50">
        <f>IF($A$4&lt;1946-1-1,34404,33994)</f>
        <v>33994</v>
      </c>
      <c r="I75" s="50">
        <f>IF($A$4&lt;1946-1-1,34817,34300)</f>
        <v>34300</v>
      </c>
      <c r="J75" s="50">
        <f>IF($A$4&lt;1946-1-1,35375,34712)</f>
        <v>34712</v>
      </c>
      <c r="K75" s="50">
        <f>IF($A$4&lt;1946-1-1,35941,35129)</f>
        <v>35129</v>
      </c>
      <c r="L75" s="50">
        <f>IF($A$4&lt;1946-1-1,36409,35472)</f>
        <v>35472</v>
      </c>
      <c r="M75" s="172">
        <f>IF($A$4&lt;1946-1-1,38703,37149)</f>
        <v>37149</v>
      </c>
      <c r="N75" s="50">
        <f>IF($A$4&lt;1946-1-1,40021,38098)</f>
        <v>38098</v>
      </c>
      <c r="O75" s="50">
        <v>38441</v>
      </c>
    </row>
    <row r="76" spans="1:15" x14ac:dyDescent="0.15">
      <c r="A76" s="8"/>
      <c r="B76" s="50">
        <v>56491</v>
      </c>
      <c r="C76" s="50">
        <v>55991</v>
      </c>
      <c r="D76" s="50">
        <v>56531</v>
      </c>
      <c r="E76" s="50">
        <v>57585</v>
      </c>
      <c r="F76" s="50">
        <v>66421</v>
      </c>
      <c r="G76" s="50">
        <v>67072</v>
      </c>
      <c r="H76" s="50">
        <v>68507</v>
      </c>
      <c r="I76" s="50">
        <v>68507</v>
      </c>
      <c r="J76" s="50">
        <v>68507</v>
      </c>
      <c r="K76" s="50">
        <v>68507</v>
      </c>
      <c r="L76" s="50">
        <v>69398</v>
      </c>
      <c r="M76" s="172">
        <v>73031</v>
      </c>
      <c r="N76" s="50">
        <v>75518</v>
      </c>
      <c r="O76" s="50">
        <v>76817</v>
      </c>
    </row>
    <row r="77" spans="1:15" x14ac:dyDescent="0.15">
      <c r="A77" s="8"/>
      <c r="B77" s="2"/>
      <c r="C77" s="2"/>
      <c r="D77" s="2"/>
      <c r="E77" s="2"/>
      <c r="F77" s="2"/>
      <c r="G77" s="2"/>
      <c r="H77" s="2"/>
      <c r="I77" s="2"/>
      <c r="J77" s="2"/>
      <c r="K77" s="2"/>
      <c r="L77" s="2"/>
      <c r="M77" s="26"/>
      <c r="N77" s="2"/>
      <c r="O77" s="2"/>
    </row>
    <row r="78" spans="1:15" x14ac:dyDescent="0.15">
      <c r="A78" s="8" t="s">
        <v>79</v>
      </c>
      <c r="B78" s="51">
        <v>17168</v>
      </c>
      <c r="C78" s="43">
        <v>17533</v>
      </c>
      <c r="D78" s="51">
        <v>17868</v>
      </c>
      <c r="E78" s="51">
        <v>18203</v>
      </c>
      <c r="F78" s="51">
        <v>18537</v>
      </c>
      <c r="G78" s="51">
        <v>18810</v>
      </c>
      <c r="H78" s="51">
        <v>19085</v>
      </c>
      <c r="I78" s="51">
        <v>19360</v>
      </c>
      <c r="J78" s="51">
        <v>19603</v>
      </c>
      <c r="K78" s="51">
        <v>19968</v>
      </c>
      <c r="L78" s="51">
        <v>20090</v>
      </c>
      <c r="M78" s="70">
        <v>20607</v>
      </c>
      <c r="N78" s="51">
        <v>20880</v>
      </c>
      <c r="O78" s="51">
        <v>21186</v>
      </c>
    </row>
    <row r="79" spans="1:15" x14ac:dyDescent="0.15">
      <c r="A79" s="8" t="s">
        <v>80</v>
      </c>
      <c r="B79" s="2" t="b">
        <f t="shared" ref="B79:O79" si="2">$A$4&lt;B78</f>
        <v>0</v>
      </c>
      <c r="C79" s="2" t="b">
        <f t="shared" si="2"/>
        <v>0</v>
      </c>
      <c r="D79" s="2" t="b">
        <f t="shared" si="2"/>
        <v>0</v>
      </c>
      <c r="E79" s="2" t="b">
        <f t="shared" si="2"/>
        <v>0</v>
      </c>
      <c r="F79" s="2" t="b">
        <f t="shared" si="2"/>
        <v>0</v>
      </c>
      <c r="G79" s="2" t="b">
        <f t="shared" si="2"/>
        <v>0</v>
      </c>
      <c r="H79" s="2" t="b">
        <f t="shared" si="2"/>
        <v>0</v>
      </c>
      <c r="I79" s="2" t="b">
        <f t="shared" si="2"/>
        <v>0</v>
      </c>
      <c r="J79" s="2" t="b">
        <f t="shared" si="2"/>
        <v>0</v>
      </c>
      <c r="K79" s="2" t="b">
        <f t="shared" si="2"/>
        <v>0</v>
      </c>
      <c r="L79" s="2" t="b">
        <f t="shared" si="2"/>
        <v>0</v>
      </c>
      <c r="M79" s="26" t="b">
        <f t="shared" si="2"/>
        <v>0</v>
      </c>
      <c r="N79" s="2" t="b">
        <f t="shared" si="2"/>
        <v>0</v>
      </c>
      <c r="O79" s="2" t="b">
        <f t="shared" si="2"/>
        <v>0</v>
      </c>
    </row>
    <row r="80" spans="1:15" x14ac:dyDescent="0.15">
      <c r="A80" s="8" t="s">
        <v>81</v>
      </c>
      <c r="B80" s="20">
        <f>IF(B$79=TRUE,15.2%,33.1%)</f>
        <v>0.33100000000000002</v>
      </c>
      <c r="C80" s="20">
        <f>IF(C$79=TRUE,19.1%,37%)</f>
        <v>0.37</v>
      </c>
      <c r="D80" s="20">
        <f>IF(D$79=TRUE,18.35%,36.25%)</f>
        <v>0.36249999999999999</v>
      </c>
      <c r="E80" s="20">
        <f>IF(E$79=TRUE,18.6%,36.5%)</f>
        <v>0.36499999999999999</v>
      </c>
      <c r="F80" s="20">
        <f>IF(F$79=TRUE,18.65%,36.55%)</f>
        <v>0.36549999999999999</v>
      </c>
      <c r="G80" s="20">
        <f>IF(G$79=TRUE,18.65%,36.55%)</f>
        <v>0.36549999999999999</v>
      </c>
      <c r="H80" s="20">
        <f>IF(H$79=TRUE,18.65%,36.55%)</f>
        <v>0.36549999999999999</v>
      </c>
      <c r="I80" s="20">
        <f>IF(I79=TRUE,18.75%,36.65%)</f>
        <v>0.36649999999999999</v>
      </c>
      <c r="J80" s="20">
        <f>IF(J79=TRUE,19.45%,37.35%)</f>
        <v>0.3735</v>
      </c>
      <c r="K80" s="20">
        <f>IF(K79=TRUE,19.2%,37.1%)</f>
        <v>0.371</v>
      </c>
      <c r="L80" s="20">
        <f>IF(L79=TRUE,19.17%,37.07%)</f>
        <v>0.37070000000000003</v>
      </c>
      <c r="M80" s="173">
        <f>IF(M79=TRUE,19.03%,36.93%)</f>
        <v>0.36930000000000002</v>
      </c>
      <c r="N80" s="20">
        <v>0.36969999999999997</v>
      </c>
      <c r="O80" s="20">
        <v>0.35820000000000002</v>
      </c>
    </row>
    <row r="81" spans="1:15" x14ac:dyDescent="0.15">
      <c r="A81" s="8" t="s">
        <v>82</v>
      </c>
      <c r="B81" s="20">
        <f>IF(B$79=TRUE,24.05%,41.95%)</f>
        <v>0.41950000000000004</v>
      </c>
      <c r="C81" s="20">
        <f>IF(C$79=TRUE,24.1%,42%)</f>
        <v>0.42</v>
      </c>
      <c r="D81" s="20">
        <f>IF(D$79=TRUE,24.1%,42%)</f>
        <v>0.42</v>
      </c>
      <c r="E81" s="20">
        <f>IF(E$79=TRUE,24.1%,42%)</f>
        <v>0.42</v>
      </c>
      <c r="F81" s="20">
        <f>IF(F$79=TRUE,22.5%,40.4%)</f>
        <v>0.40399999999999997</v>
      </c>
      <c r="G81" s="20">
        <f>IF(G$79=TRUE,22.9%,40.8%)</f>
        <v>0.40799999999999997</v>
      </c>
      <c r="H81" s="20">
        <f>IF(H$79=TRUE,22.95%,40.85%)</f>
        <v>0.40850000000000003</v>
      </c>
      <c r="I81" s="20">
        <f>IF(I79=TRUE,20.2%,38.1%)</f>
        <v>0.38100000000000001</v>
      </c>
      <c r="J81" s="20">
        <f>IF(J79=TRUE,19.45%,37.35%)</f>
        <v>0.3735</v>
      </c>
      <c r="K81" s="20">
        <f>IF(K79=TRUE,19.2%,37.1%)</f>
        <v>0.371</v>
      </c>
      <c r="L81" s="20">
        <f>IF(L79=TRUE,19.17%,37.07%)</f>
        <v>0.37070000000000003</v>
      </c>
      <c r="M81" s="173">
        <f>IF(M80=TRUE,19.03%,36.93%)</f>
        <v>0.36930000000000002</v>
      </c>
      <c r="N81" s="20">
        <v>0.36969999999999997</v>
      </c>
      <c r="O81" s="20">
        <v>0.35820000000000002</v>
      </c>
    </row>
    <row r="82" spans="1:15" x14ac:dyDescent="0.15">
      <c r="A82" s="8" t="s">
        <v>83</v>
      </c>
      <c r="B82" s="20">
        <v>0.42</v>
      </c>
      <c r="C82" s="20">
        <v>0.42</v>
      </c>
      <c r="D82" s="20">
        <v>0.42</v>
      </c>
      <c r="E82" s="20">
        <v>0.42</v>
      </c>
      <c r="F82" s="20">
        <v>0.40400000000000003</v>
      </c>
      <c r="G82" s="20">
        <v>0.40799999999999997</v>
      </c>
      <c r="H82" s="20">
        <v>0.40849999999999997</v>
      </c>
      <c r="I82" s="20">
        <v>0.38100000000000001</v>
      </c>
      <c r="J82" s="20">
        <v>0.3735</v>
      </c>
      <c r="K82" s="20">
        <v>0.371</v>
      </c>
      <c r="L82" s="20">
        <v>0.37069999999999997</v>
      </c>
      <c r="M82" s="173">
        <v>0.36930000000000002</v>
      </c>
      <c r="N82" s="20">
        <v>0.36969999999999997</v>
      </c>
      <c r="O82" s="20">
        <v>0.37480000000000002</v>
      </c>
    </row>
    <row r="83" spans="1:15" x14ac:dyDescent="0.15">
      <c r="A83" s="8" t="s">
        <v>84</v>
      </c>
      <c r="B83" s="20">
        <v>0.52</v>
      </c>
      <c r="C83" s="20">
        <v>0.52</v>
      </c>
      <c r="D83" s="20">
        <v>0.52</v>
      </c>
      <c r="E83" s="20">
        <v>0.52</v>
      </c>
      <c r="F83" s="20">
        <v>0.52</v>
      </c>
      <c r="G83" s="20">
        <v>0.52</v>
      </c>
      <c r="H83" s="20">
        <v>0.51949999999999996</v>
      </c>
      <c r="I83" s="20">
        <v>0.51749999999999996</v>
      </c>
      <c r="J83" s="20">
        <v>0.495</v>
      </c>
      <c r="K83" s="20">
        <v>0.495</v>
      </c>
      <c r="L83" s="20">
        <v>0.495</v>
      </c>
      <c r="M83" s="173">
        <v>0.495</v>
      </c>
      <c r="N83" s="52">
        <v>0.495</v>
      </c>
      <c r="O83" s="20">
        <v>0.495</v>
      </c>
    </row>
    <row r="84" spans="1:15" x14ac:dyDescent="0.15">
      <c r="A84" s="8"/>
      <c r="B84" s="2"/>
      <c r="C84" s="2"/>
      <c r="D84" s="2"/>
      <c r="E84" s="2"/>
      <c r="F84" s="2"/>
      <c r="G84" s="2"/>
      <c r="H84" s="2"/>
      <c r="I84" s="2"/>
      <c r="J84" s="2"/>
      <c r="K84" s="2"/>
      <c r="L84" s="2"/>
      <c r="M84" s="26"/>
      <c r="N84" s="2"/>
      <c r="O84" s="2"/>
    </row>
    <row r="85" spans="1:15" x14ac:dyDescent="0.15">
      <c r="A85" s="8" t="s">
        <v>55</v>
      </c>
      <c r="B85" s="19">
        <v>0.25</v>
      </c>
      <c r="C85" s="19">
        <v>0.25</v>
      </c>
      <c r="D85" s="19">
        <v>0.22</v>
      </c>
      <c r="E85" s="19">
        <v>0.25</v>
      </c>
      <c r="F85" s="19">
        <v>0.25</v>
      </c>
      <c r="G85" s="19">
        <v>0.25</v>
      </c>
      <c r="H85" s="19">
        <v>0.25</v>
      </c>
      <c r="I85" s="19">
        <v>0.25</v>
      </c>
      <c r="J85" s="20">
        <v>0.26250000000000001</v>
      </c>
      <c r="K85" s="20">
        <v>0.26900000000000002</v>
      </c>
      <c r="L85" s="20">
        <v>0.26900000000000002</v>
      </c>
      <c r="M85" s="173">
        <v>0.26900000000000002</v>
      </c>
      <c r="N85" s="19">
        <v>0.33</v>
      </c>
      <c r="O85" s="19">
        <v>0.31</v>
      </c>
    </row>
    <row r="86" spans="1:15" x14ac:dyDescent="0.15">
      <c r="A86" s="8"/>
      <c r="B86" s="2"/>
      <c r="C86" s="2"/>
      <c r="D86" s="2"/>
      <c r="E86" s="2"/>
      <c r="F86" s="2"/>
      <c r="G86" s="2"/>
      <c r="H86" s="2"/>
      <c r="I86" s="2"/>
      <c r="J86" s="2"/>
      <c r="K86" s="2"/>
      <c r="L86" s="2"/>
      <c r="M86" s="26"/>
      <c r="N86" s="2"/>
      <c r="O86" s="2"/>
    </row>
    <row r="87" spans="1:15" x14ac:dyDescent="0.15">
      <c r="A87" s="9" t="s">
        <v>8</v>
      </c>
      <c r="B87" s="33">
        <v>2012</v>
      </c>
      <c r="C87" s="33">
        <v>2013</v>
      </c>
      <c r="D87" s="33">
        <v>2014</v>
      </c>
      <c r="E87" s="33">
        <v>2015</v>
      </c>
      <c r="F87" s="33">
        <v>2016</v>
      </c>
      <c r="G87" s="33">
        <v>2017</v>
      </c>
      <c r="H87" s="33">
        <v>2018</v>
      </c>
      <c r="I87" s="33">
        <v>2019</v>
      </c>
      <c r="J87" s="33">
        <v>2020</v>
      </c>
      <c r="K87" s="33">
        <v>2021</v>
      </c>
      <c r="L87" s="33">
        <v>2022</v>
      </c>
      <c r="M87" s="171">
        <v>2023</v>
      </c>
      <c r="N87" s="33">
        <v>2024</v>
      </c>
      <c r="O87" s="33">
        <v>2025</v>
      </c>
    </row>
    <row r="88" spans="1:15" x14ac:dyDescent="0.15">
      <c r="A88" s="8" t="s">
        <v>85</v>
      </c>
      <c r="B88" s="2">
        <v>200000</v>
      </c>
      <c r="C88" s="2">
        <v>200000</v>
      </c>
      <c r="D88" s="2">
        <v>200000</v>
      </c>
      <c r="E88" s="2">
        <v>200000</v>
      </c>
      <c r="F88" s="2">
        <v>200000</v>
      </c>
      <c r="G88" s="2">
        <v>200000</v>
      </c>
      <c r="H88" s="2">
        <v>200000</v>
      </c>
      <c r="I88" s="2">
        <v>200000</v>
      </c>
      <c r="J88" s="2">
        <v>200000</v>
      </c>
      <c r="K88" s="2">
        <v>245000</v>
      </c>
      <c r="L88" s="2">
        <v>395000</v>
      </c>
      <c r="M88" s="26">
        <v>200000</v>
      </c>
      <c r="N88" s="2">
        <v>200000</v>
      </c>
      <c r="O88" s="2">
        <v>200000</v>
      </c>
    </row>
    <row r="89" spans="1:15" x14ac:dyDescent="0.15">
      <c r="A89" s="8" t="s">
        <v>86</v>
      </c>
      <c r="B89" s="19">
        <v>0.2</v>
      </c>
      <c r="C89" s="19">
        <v>0.2</v>
      </c>
      <c r="D89" s="19">
        <v>0.2</v>
      </c>
      <c r="E89" s="19">
        <v>0.2</v>
      </c>
      <c r="F89" s="19">
        <v>0.2</v>
      </c>
      <c r="G89" s="19">
        <v>0.2</v>
      </c>
      <c r="H89" s="19">
        <v>0.2</v>
      </c>
      <c r="I89" s="53">
        <v>0.19</v>
      </c>
      <c r="J89" s="53">
        <v>0.16500000000000001</v>
      </c>
      <c r="K89" s="53">
        <v>0.15</v>
      </c>
      <c r="L89" s="19">
        <v>0.15</v>
      </c>
      <c r="M89" s="174">
        <v>0.19</v>
      </c>
      <c r="N89" s="19">
        <v>0.19</v>
      </c>
      <c r="O89" s="19">
        <v>0.19</v>
      </c>
    </row>
    <row r="90" spans="1:15" x14ac:dyDescent="0.15">
      <c r="A90" s="8" t="s">
        <v>87</v>
      </c>
      <c r="B90" s="19">
        <v>0.25</v>
      </c>
      <c r="C90" s="19">
        <v>0.25</v>
      </c>
      <c r="D90" s="19">
        <v>0.25</v>
      </c>
      <c r="E90" s="19">
        <v>0.25</v>
      </c>
      <c r="F90" s="19">
        <v>0.25</v>
      </c>
      <c r="G90" s="19">
        <v>0.25</v>
      </c>
      <c r="H90" s="19">
        <v>0.25</v>
      </c>
      <c r="I90" s="53">
        <v>0.25</v>
      </c>
      <c r="J90" s="53">
        <v>0.25</v>
      </c>
      <c r="K90" s="53">
        <v>0.25</v>
      </c>
      <c r="L90" s="19">
        <v>0.25800000000000001</v>
      </c>
      <c r="M90" s="175">
        <v>0.25800000000000001</v>
      </c>
      <c r="N90" s="53">
        <v>0.25800000000000001</v>
      </c>
      <c r="O90" s="20">
        <v>0.25800000000000001</v>
      </c>
    </row>
    <row r="91" spans="1:15" x14ac:dyDescent="0.15">
      <c r="A91" s="8"/>
      <c r="B91" s="2"/>
      <c r="C91" s="2"/>
      <c r="D91" s="2"/>
      <c r="E91" s="2"/>
      <c r="F91" s="2"/>
      <c r="G91" s="2"/>
      <c r="H91" s="2"/>
      <c r="I91" s="2"/>
      <c r="J91" s="2"/>
      <c r="K91" s="2"/>
      <c r="L91" s="2"/>
      <c r="M91" s="26"/>
      <c r="N91" s="2"/>
      <c r="O91" s="2"/>
    </row>
    <row r="92" spans="1:15" x14ac:dyDescent="0.15">
      <c r="A92" s="9" t="s">
        <v>88</v>
      </c>
      <c r="B92" s="54">
        <f>IF(B$79=TRUE,934,2001)</f>
        <v>2001</v>
      </c>
      <c r="C92" s="54">
        <f>IF(C$79=TRUE,1034,2033)</f>
        <v>2033</v>
      </c>
      <c r="D92" s="54">
        <f>IF(D$79=TRUE,1065,2103)</f>
        <v>2103</v>
      </c>
      <c r="E92" s="54">
        <f>IF(E$79=TRUE,1123,2203)</f>
        <v>2203</v>
      </c>
      <c r="F92" s="54">
        <f>IF(F$79=TRUE,1145,2242)</f>
        <v>2242</v>
      </c>
      <c r="G92" s="54">
        <f>IF(G$79=TRUE,1151,2254)</f>
        <v>2254</v>
      </c>
      <c r="H92" s="54">
        <f>IF(H$79=TRUE,1157,2265)</f>
        <v>2265</v>
      </c>
      <c r="I92" s="54">
        <f>IF(I79=TRUE,1268,2477)</f>
        <v>2477</v>
      </c>
      <c r="J92" s="54">
        <f>IF(J79=TRUE,1413,2711)</f>
        <v>2711</v>
      </c>
      <c r="K92" s="54">
        <f>IF(K79=TRUE,1453,2837)</f>
        <v>2837</v>
      </c>
      <c r="L92" s="54">
        <f>IF(L79=TRUE,1494,2888)</f>
        <v>2888</v>
      </c>
      <c r="M92" s="176">
        <f>IF(M79=TRUE,1588,3070)</f>
        <v>3070</v>
      </c>
      <c r="N92" s="55">
        <f>IF(N79=TRUE,1735,3362)</f>
        <v>3362</v>
      </c>
      <c r="O92" s="55">
        <v>3068</v>
      </c>
    </row>
    <row r="93" spans="1:15" x14ac:dyDescent="0.15">
      <c r="A93" s="8" t="s">
        <v>89</v>
      </c>
      <c r="B93" s="56">
        <v>0</v>
      </c>
      <c r="C93" s="56">
        <v>0</v>
      </c>
      <c r="D93" s="57">
        <f>IF(D$79=TRUE,2%,2%)</f>
        <v>0.02</v>
      </c>
      <c r="E93" s="57">
        <f>IF(E$79=TRUE,1.183%,2.32%)</f>
        <v>2.3199999999999998E-2</v>
      </c>
      <c r="F93" s="57">
        <f>IF(F$79=TRUE,2.46%,4.822%)</f>
        <v>4.8219999999999999E-2</v>
      </c>
      <c r="G93" s="57">
        <f>IF(G$79=TRUE,2.443%,4.787%)</f>
        <v>4.7869999999999996E-2</v>
      </c>
      <c r="H93" s="57">
        <f>IF(H$79=TRUE,2.389%,4.683%)</f>
        <v>4.6829999999999997E-2</v>
      </c>
      <c r="I93" s="57">
        <f>IF(I79=TRUE,2.633%,5.147%)</f>
        <v>5.1470000000000002E-2</v>
      </c>
      <c r="J93" s="57">
        <f>IF(J79=TRUE,2.954%,5.672%)</f>
        <v>5.672E-2</v>
      </c>
      <c r="K93" s="57">
        <f>IF(K79=TRUE,3.093%,5.977%)</f>
        <v>5.9770000000000004E-2</v>
      </c>
      <c r="L93" s="57">
        <f>IF(L79=TRUE,3.106%,6.007%)</f>
        <v>6.0069999999999998E-2</v>
      </c>
      <c r="M93" s="177">
        <f>IF(M79=TRUE,3.141%,6.095%)</f>
        <v>6.0949999999999997E-2</v>
      </c>
      <c r="N93" s="56">
        <v>6.6299999999999998E-2</v>
      </c>
      <c r="O93" s="20">
        <v>6.3369999999999996E-2</v>
      </c>
    </row>
    <row r="94" spans="1:15" x14ac:dyDescent="0.15">
      <c r="A94" s="8" t="s">
        <v>90</v>
      </c>
      <c r="B94" s="58">
        <f>B92</f>
        <v>2001</v>
      </c>
      <c r="C94" s="58">
        <f>C92</f>
        <v>2033</v>
      </c>
      <c r="D94" s="59">
        <f>IF(D$79=TRUE,693,1366)</f>
        <v>1366</v>
      </c>
      <c r="E94" s="59">
        <f>IF(E$79=TRUE,685,1342)</f>
        <v>1342</v>
      </c>
      <c r="F94" s="59">
        <v>0</v>
      </c>
      <c r="G94" s="59">
        <v>0</v>
      </c>
      <c r="H94" s="59">
        <v>0</v>
      </c>
      <c r="I94" s="59">
        <v>0</v>
      </c>
      <c r="J94" s="59">
        <v>0</v>
      </c>
      <c r="K94" s="59">
        <v>0</v>
      </c>
      <c r="L94" s="58">
        <v>0</v>
      </c>
      <c r="M94" s="178">
        <v>0</v>
      </c>
      <c r="N94" s="58">
        <v>0</v>
      </c>
      <c r="O94" s="58">
        <v>0</v>
      </c>
    </row>
    <row r="95" spans="1:15" x14ac:dyDescent="0.15">
      <c r="A95" s="8"/>
      <c r="B95" s="20"/>
      <c r="C95" s="2"/>
      <c r="D95" s="22"/>
      <c r="E95" s="14"/>
      <c r="F95" s="14"/>
      <c r="G95" s="2"/>
      <c r="H95" s="2"/>
      <c r="I95" s="2"/>
      <c r="J95" s="2"/>
      <c r="K95" s="20"/>
      <c r="L95" s="2"/>
      <c r="M95" s="179"/>
      <c r="N95" s="14"/>
      <c r="O95" s="14"/>
    </row>
    <row r="96" spans="1:15" x14ac:dyDescent="0.15">
      <c r="A96" s="9" t="s">
        <v>41</v>
      </c>
      <c r="B96" s="33">
        <v>2012</v>
      </c>
      <c r="C96" s="33">
        <v>2013</v>
      </c>
      <c r="D96" s="33">
        <v>2014</v>
      </c>
      <c r="E96" s="33">
        <v>2015</v>
      </c>
      <c r="F96" s="33">
        <v>2016</v>
      </c>
      <c r="G96" s="33">
        <v>2017</v>
      </c>
      <c r="H96" s="33">
        <v>2018</v>
      </c>
      <c r="I96" s="33">
        <v>2019</v>
      </c>
      <c r="J96" s="33">
        <v>2020</v>
      </c>
      <c r="K96" s="33">
        <v>2021</v>
      </c>
      <c r="L96" s="33">
        <v>2022</v>
      </c>
      <c r="M96" s="171">
        <v>2023</v>
      </c>
      <c r="N96" s="33">
        <v>2024</v>
      </c>
      <c r="O96" s="33">
        <v>2025</v>
      </c>
    </row>
    <row r="97" spans="1:15" x14ac:dyDescent="0.15">
      <c r="A97" s="8" t="s">
        <v>51</v>
      </c>
      <c r="B97" s="58">
        <v>9295</v>
      </c>
      <c r="C97" s="58">
        <v>8816</v>
      </c>
      <c r="D97" s="58">
        <v>8913</v>
      </c>
      <c r="E97" s="60">
        <v>9010</v>
      </c>
      <c r="F97" s="60">
        <v>9147</v>
      </c>
      <c r="G97" s="58">
        <v>9309</v>
      </c>
      <c r="H97" s="58">
        <v>9468</v>
      </c>
      <c r="I97" s="58">
        <v>9694</v>
      </c>
      <c r="J97" s="58">
        <v>9921</v>
      </c>
      <c r="K97" s="58">
        <v>10108</v>
      </c>
      <c r="L97" s="58">
        <v>10350</v>
      </c>
      <c r="M97" s="178">
        <v>10740</v>
      </c>
      <c r="N97" s="60">
        <v>11491</v>
      </c>
      <c r="O97" s="60">
        <v>12169</v>
      </c>
    </row>
    <row r="98" spans="1:15" x14ac:dyDescent="0.15">
      <c r="A98" s="8" t="s">
        <v>52</v>
      </c>
      <c r="B98" s="58">
        <v>21059</v>
      </c>
      <c r="C98" s="58">
        <v>18502</v>
      </c>
      <c r="D98" s="58">
        <v>19248</v>
      </c>
      <c r="E98" s="58">
        <v>19463</v>
      </c>
      <c r="F98" s="58">
        <v>19758</v>
      </c>
      <c r="G98" s="58">
        <v>20108</v>
      </c>
      <c r="H98" s="58">
        <v>20450</v>
      </c>
      <c r="I98" s="58">
        <v>20940</v>
      </c>
      <c r="J98" s="58">
        <v>21430</v>
      </c>
      <c r="K98" s="58">
        <v>21835</v>
      </c>
      <c r="L98" s="58">
        <v>22356</v>
      </c>
      <c r="M98" s="178">
        <v>23201</v>
      </c>
      <c r="N98" s="58">
        <f>N74</f>
        <v>24821</v>
      </c>
      <c r="O98" s="58">
        <f t="shared" ref="O98" si="3">O74</f>
        <v>26288</v>
      </c>
    </row>
    <row r="99" spans="1:15" x14ac:dyDescent="0.15">
      <c r="A99" s="8" t="s">
        <v>53</v>
      </c>
      <c r="B99" s="54">
        <v>45181</v>
      </c>
      <c r="C99" s="54">
        <v>40248</v>
      </c>
      <c r="D99" s="54">
        <v>40721</v>
      </c>
      <c r="E99" s="55">
        <v>49770</v>
      </c>
      <c r="F99" s="55">
        <v>34015</v>
      </c>
      <c r="G99" s="58">
        <v>32444</v>
      </c>
      <c r="H99" s="54">
        <v>33112</v>
      </c>
      <c r="I99" s="54">
        <v>34060</v>
      </c>
      <c r="J99" s="54">
        <v>34954</v>
      </c>
      <c r="K99" s="54">
        <v>35652</v>
      </c>
      <c r="L99" s="54">
        <v>36649</v>
      </c>
      <c r="M99" s="176">
        <v>37691</v>
      </c>
      <c r="N99" s="60">
        <v>39958</v>
      </c>
      <c r="O99" s="60">
        <v>43071</v>
      </c>
    </row>
    <row r="100" spans="1:15" x14ac:dyDescent="0.15">
      <c r="A100" s="8" t="s">
        <v>54</v>
      </c>
      <c r="B100" s="58">
        <v>514.17999999999995</v>
      </c>
      <c r="C100" s="58">
        <v>69573</v>
      </c>
      <c r="D100" s="58">
        <v>83971</v>
      </c>
      <c r="E100" s="58">
        <v>100670</v>
      </c>
      <c r="F100" s="58">
        <v>111590</v>
      </c>
      <c r="G100" s="58">
        <v>121972</v>
      </c>
      <c r="H100" s="58">
        <v>123362</v>
      </c>
      <c r="I100" s="58">
        <v>90710</v>
      </c>
      <c r="J100" s="58">
        <f>(J107/J105)+J99</f>
        <v>98604</v>
      </c>
      <c r="K100" s="58">
        <f>(K107/K105)+K99</f>
        <v>105735.33333333334</v>
      </c>
      <c r="L100" s="58">
        <f>(L107/L105)+L99</f>
        <v>109345.24573378838</v>
      </c>
      <c r="M100" s="178">
        <f>(M107/M105)+M99</f>
        <v>115294.68663594472</v>
      </c>
      <c r="N100" s="58">
        <v>124935</v>
      </c>
      <c r="O100" s="58">
        <v>129078</v>
      </c>
    </row>
    <row r="101" spans="1:15" x14ac:dyDescent="0.15">
      <c r="A101" s="8"/>
      <c r="B101" s="2"/>
      <c r="C101" s="2"/>
      <c r="D101" s="20"/>
      <c r="E101" s="2"/>
      <c r="F101" s="22"/>
      <c r="G101" s="14"/>
      <c r="H101" s="14"/>
      <c r="I101" s="2"/>
      <c r="J101" s="2"/>
      <c r="K101" s="2"/>
      <c r="L101" s="2"/>
      <c r="M101" s="26"/>
      <c r="N101" s="2"/>
      <c r="O101" s="22"/>
    </row>
    <row r="102" spans="1:15" x14ac:dyDescent="0.15">
      <c r="A102" s="8" t="s">
        <v>81</v>
      </c>
      <c r="B102" s="2">
        <f>IF(B$79=TRUE,0.796%,1.733%)</f>
        <v>1.7330000000000002E-2</v>
      </c>
      <c r="C102" s="2">
        <f>IF(C$79=TRUE,0.943%,1.827%)</f>
        <v>1.8269999999999998E-2</v>
      </c>
      <c r="D102" s="2">
        <f>IF(D$79=TRUE,0.915%,1.807%)</f>
        <v>1.8069999999999999E-2</v>
      </c>
      <c r="E102" s="2">
        <f>IF(E$79=TRUE,0.922%,1.81%)</f>
        <v>1.8100000000000002E-2</v>
      </c>
      <c r="F102" s="2">
        <f>IF(F$79=TRUE,0.915%,1.793%)</f>
        <v>1.7929999999999998E-2</v>
      </c>
      <c r="G102" s="2">
        <f>IF(G$79=TRUE,0.904%,1.772%)</f>
        <v>1.772E-2</v>
      </c>
      <c r="H102" s="2">
        <f>IF(H$79=TRUE,0.901%,1.764%)</f>
        <v>1.7639999999999999E-2</v>
      </c>
      <c r="I102" s="2">
        <f>IF(I79=TRUE,0.898%,1.754%)</f>
        <v>1.754E-2</v>
      </c>
      <c r="J102" s="2">
        <f>IF(J79=TRUE,1.464%,2.812%)</f>
        <v>2.8119999999999999E-2</v>
      </c>
      <c r="K102" s="2">
        <f>IF(K79=TRUE,2.371%,4.581%)</f>
        <v>4.5810000000000003E-2</v>
      </c>
      <c r="L102" s="2">
        <f>IF(L79=TRUE,2.348%,4.541%)</f>
        <v>4.5410000000000006E-2</v>
      </c>
      <c r="M102" s="26">
        <f>IF(M79=TRUE,4.241%,8.231%)</f>
        <v>8.2309999999999994E-2</v>
      </c>
      <c r="N102" s="2">
        <f>IF(N79=TRUE,4.346%,8.425%)</f>
        <v>8.4250000000000005E-2</v>
      </c>
      <c r="O102" s="211">
        <v>8.0530000000000004E-2</v>
      </c>
    </row>
    <row r="103" spans="1:15" x14ac:dyDescent="0.15">
      <c r="A103" s="8" t="s">
        <v>82</v>
      </c>
      <c r="B103" s="2">
        <f>IF(B$79=TRUE,5.657%,12.32%)</f>
        <v>0.1232</v>
      </c>
      <c r="C103" s="2">
        <f>IF(C$79=TRUE,8.319%,16.115%)</f>
        <v>0.16114999999999999</v>
      </c>
      <c r="D103" s="2">
        <f>IF(D$79=TRUE,9.479%,18.724%)</f>
        <v>0.18723999999999999</v>
      </c>
      <c r="E103" s="2">
        <f>IF(E$79=TRUE,10.028%,19.679%)</f>
        <v>0.19678999999999999</v>
      </c>
      <c r="F103" s="2">
        <f>IF(F$79=TRUE,14.133%,27.698%)</f>
        <v>0.27698</v>
      </c>
      <c r="G103" s="2">
        <f>IF(G$79=TRUE,14.449%,28.317%)</f>
        <v>0.28316999999999998</v>
      </c>
      <c r="H103" s="2">
        <f>IF(H$79=TRUE,14.32%,28.064%)</f>
        <v>0.28064</v>
      </c>
      <c r="I103" s="2">
        <f>IF(I79=TRUE,14.689%,28.712%)</f>
        <v>0.28711999999999999</v>
      </c>
      <c r="J103" s="2">
        <f>IF(J79=TRUE,15.004%,28.812%)</f>
        <v>0.28811999999999999</v>
      </c>
      <c r="K103" s="2">
        <f>IF(K79=TRUE,14.89%,28.771%)</f>
        <v>0.28771000000000002</v>
      </c>
      <c r="L103" s="2">
        <f>IF(L79=TRUE,14.718%,28.461%)</f>
        <v>0.28460999999999997</v>
      </c>
      <c r="M103" s="26">
        <f>IF(M79=TRUE,15.388%,29.861%)</f>
        <v>0.29860999999999999</v>
      </c>
      <c r="N103" s="2">
        <f>IF(N79=TRUE,16.214%,31.433%)</f>
        <v>0.31433</v>
      </c>
      <c r="O103" s="211">
        <v>0.30030000000000001</v>
      </c>
    </row>
    <row r="104" spans="1:15" x14ac:dyDescent="0.15">
      <c r="A104" s="8" t="s">
        <v>83</v>
      </c>
      <c r="B104" s="2">
        <v>0</v>
      </c>
      <c r="C104" s="2">
        <v>0</v>
      </c>
      <c r="D104" s="2">
        <v>0</v>
      </c>
      <c r="E104" s="2">
        <v>0</v>
      </c>
      <c r="F104" s="2">
        <v>0</v>
      </c>
      <c r="G104" s="2">
        <v>0</v>
      </c>
      <c r="H104" s="2">
        <v>0</v>
      </c>
      <c r="I104" s="2">
        <v>0</v>
      </c>
      <c r="J104" s="2">
        <f>IF(J79=TRUE,0.862%,1.656%)</f>
        <v>1.6559999999999998E-2</v>
      </c>
      <c r="K104" s="2">
        <f>IF(K79=TRUE,1.378%,2.663%)</f>
        <v>2.6629999999999997E-2</v>
      </c>
      <c r="L104" s="2">
        <f>IF(L79=TRUE,1.349%,2.61%)</f>
        <v>2.6099999999999998E-2</v>
      </c>
      <c r="M104" s="26">
        <f>IF(M79=TRUE,1.589%,3.085%)</f>
        <v>3.0849999999999999E-2</v>
      </c>
      <c r="N104" s="2">
        <f>IF(N79=TRUE,1.275%,2.471%)</f>
        <v>2.4709999999999999E-2</v>
      </c>
      <c r="O104" s="2">
        <v>2.2579999999999999E-2</v>
      </c>
    </row>
    <row r="105" spans="1:15" x14ac:dyDescent="0.15">
      <c r="A105" s="8" t="s">
        <v>84</v>
      </c>
      <c r="B105" s="2">
        <f>IF(B$79=TRUE,0.574%,1.25%)</f>
        <v>1.2500000000000001E-2</v>
      </c>
      <c r="C105" s="2">
        <f>IF(C$79=TRUE,2.064%,4%)</f>
        <v>0.04</v>
      </c>
      <c r="D105" s="2">
        <f>IF(D$79=TRUE,2.025%,4%)</f>
        <v>0.04</v>
      </c>
      <c r="E105" s="2">
        <f>IF(E$79=TRUE,2.038%,4%)</f>
        <v>0.04</v>
      </c>
      <c r="F105" s="2">
        <f>IF(F$79=TRUE,2.041%,4%)</f>
        <v>0.04</v>
      </c>
      <c r="G105" s="2">
        <f>IF(G$79=TRUE,1.837%,3.6%)</f>
        <v>3.6000000000000004E-2</v>
      </c>
      <c r="H105" s="2">
        <f>IF(H$79=TRUE,1.837%,3.6%)</f>
        <v>3.6000000000000004E-2</v>
      </c>
      <c r="I105" s="2">
        <f>IF(I79=TRUE,3.069%,6%)</f>
        <v>0.06</v>
      </c>
      <c r="J105" s="2">
        <f>IF(J79=TRUE,3.124%,6%)</f>
        <v>0.06</v>
      </c>
      <c r="K105" s="2">
        <f>IF(K79=TRUE,3.105%,6%)</f>
        <v>0.06</v>
      </c>
      <c r="L105" s="2">
        <f>IF(L79=TRUE,3.03%,5.86%)</f>
        <v>5.8600000000000006E-2</v>
      </c>
      <c r="M105" s="26">
        <f>IF(M79=TRUE,3.355%,6.51%)</f>
        <v>6.5099999999999991E-2</v>
      </c>
      <c r="N105" s="2">
        <f>IF(N79=TRUE,3.358%,6.51%)</f>
        <v>6.5099999999999991E-2</v>
      </c>
      <c r="O105" s="2">
        <v>6.5100000000000005E-2</v>
      </c>
    </row>
    <row r="106" spans="1:15" x14ac:dyDescent="0.15">
      <c r="A106" s="9"/>
      <c r="B106" s="10"/>
      <c r="C106" s="10"/>
      <c r="D106" s="10"/>
      <c r="E106" s="10"/>
      <c r="F106" s="10"/>
      <c r="G106" s="11"/>
      <c r="H106" s="11"/>
      <c r="I106" s="2"/>
      <c r="J106" s="10"/>
      <c r="K106" s="10"/>
      <c r="L106" s="10"/>
      <c r="M106" s="180"/>
      <c r="N106" s="10"/>
      <c r="O106" s="10"/>
    </row>
    <row r="107" spans="1:15" x14ac:dyDescent="0.15">
      <c r="A107" s="8" t="s">
        <v>91</v>
      </c>
      <c r="B107" s="2">
        <f>IF(B$79=TRUE,740,1611)</f>
        <v>1611</v>
      </c>
      <c r="C107" s="2">
        <f>IF(C$79=TRUE,890,1723)</f>
        <v>1723</v>
      </c>
      <c r="D107" s="2">
        <f>IF(D$79=TRUE,1062,2097)</f>
        <v>2097</v>
      </c>
      <c r="E107" s="2">
        <f>IF(E$79=TRUE,1132,2220)</f>
        <v>2220</v>
      </c>
      <c r="F107" s="2">
        <f>IF(F$79=TRUE,1585,3103)</f>
        <v>3103</v>
      </c>
      <c r="G107" s="2">
        <f>IF(G$79=TRUE,1645,3223)</f>
        <v>3223</v>
      </c>
      <c r="H107" s="2">
        <f>IF(H$79=TRUE,1659,3249)</f>
        <v>3249</v>
      </c>
      <c r="I107" s="2">
        <f>IF(I79=TRUE,1745,3399)</f>
        <v>3399</v>
      </c>
      <c r="J107" s="2">
        <f>IF(J79=TRUE,1989,3819)</f>
        <v>3819</v>
      </c>
      <c r="K107" s="2">
        <f>IF(K79=TRUE,2178,4205)</f>
        <v>4205</v>
      </c>
      <c r="L107" s="2">
        <f>IF(L79=TRUE,2204,4260)</f>
        <v>4260</v>
      </c>
      <c r="M107" s="26">
        <f>IF(M79=TRUE,2604,5052)</f>
        <v>5052</v>
      </c>
      <c r="N107" s="2">
        <f>IF(N79=TRUE,2854,5532)</f>
        <v>5532</v>
      </c>
      <c r="O107" s="22">
        <v>5599</v>
      </c>
    </row>
    <row r="108" spans="1:15" x14ac:dyDescent="0.15">
      <c r="A108" s="8" t="s">
        <v>92</v>
      </c>
      <c r="B108" s="2">
        <f>IF(B$79=TRUE,704,740)</f>
        <v>740</v>
      </c>
      <c r="C108" s="2">
        <f>IF(C$79=TRUE,284,550)</f>
        <v>550</v>
      </c>
      <c r="D108" s="2">
        <f>IF(D$79=TRUE,186,367)</f>
        <v>367</v>
      </c>
      <c r="E108" s="2">
        <f>IF(E$79=TRUE,94,184)</f>
        <v>184</v>
      </c>
      <c r="F108" s="2">
        <v>0</v>
      </c>
      <c r="G108" s="2">
        <v>0</v>
      </c>
      <c r="H108" s="2">
        <v>0</v>
      </c>
      <c r="I108" s="2">
        <v>0</v>
      </c>
      <c r="J108" s="2">
        <v>0</v>
      </c>
      <c r="K108" s="2">
        <v>0</v>
      </c>
      <c r="L108" s="2">
        <v>0</v>
      </c>
      <c r="M108" s="26">
        <v>0</v>
      </c>
      <c r="N108" s="2">
        <v>0</v>
      </c>
      <c r="O108" s="22">
        <v>0</v>
      </c>
    </row>
    <row r="109" spans="1:15" x14ac:dyDescent="0.15">
      <c r="A109" s="8"/>
      <c r="B109" s="2"/>
      <c r="C109" s="2"/>
      <c r="D109" s="20"/>
      <c r="E109" s="2"/>
      <c r="F109" s="22"/>
      <c r="G109" s="14"/>
      <c r="H109" s="14"/>
      <c r="I109" s="2"/>
      <c r="J109" s="2"/>
      <c r="K109" s="2"/>
      <c r="L109" s="2"/>
      <c r="M109" s="173"/>
      <c r="N109" s="2"/>
      <c r="O109" s="22"/>
    </row>
    <row r="110" spans="1:15" x14ac:dyDescent="0.15">
      <c r="A110" s="9" t="s">
        <v>62</v>
      </c>
      <c r="B110" s="34">
        <v>0</v>
      </c>
      <c r="C110" s="34">
        <v>0</v>
      </c>
      <c r="D110" s="34">
        <v>5.0000000000000001E-3</v>
      </c>
      <c r="E110" s="34">
        <v>0.01</v>
      </c>
      <c r="F110" s="34">
        <v>1.4999999999999999E-2</v>
      </c>
      <c r="G110" s="34">
        <v>0.02</v>
      </c>
      <c r="H110" s="13">
        <v>2.4500000000000001E-2</v>
      </c>
      <c r="I110" s="13">
        <v>2.75E-2</v>
      </c>
      <c r="J110" s="13">
        <v>3.5000000000000003E-2</v>
      </c>
      <c r="K110" s="13">
        <v>6.5000000000000002E-2</v>
      </c>
      <c r="L110" s="153">
        <v>9.5000000000000001E-2</v>
      </c>
      <c r="M110" s="181">
        <f>M83-M82</f>
        <v>0.12569999999999998</v>
      </c>
      <c r="N110" s="34">
        <f>N83-N82</f>
        <v>0.12530000000000002</v>
      </c>
      <c r="O110" s="13">
        <v>0.1202</v>
      </c>
    </row>
    <row r="111" spans="1:15" x14ac:dyDescent="0.15">
      <c r="A111" s="9"/>
      <c r="B111" s="34"/>
      <c r="C111" s="34"/>
      <c r="D111" s="34"/>
      <c r="E111" s="34"/>
      <c r="F111" s="34"/>
      <c r="G111" s="34"/>
      <c r="H111" s="13"/>
      <c r="I111" s="34">
        <v>0</v>
      </c>
      <c r="J111" s="13">
        <v>3.5000000000000003E-2</v>
      </c>
      <c r="K111" s="13">
        <v>6.5000000000000002E-2</v>
      </c>
      <c r="L111" s="153">
        <v>9.5000000000000001E-2</v>
      </c>
      <c r="M111" s="181">
        <f>M110</f>
        <v>0.12569999999999998</v>
      </c>
      <c r="N111" s="34">
        <f>N110</f>
        <v>0.12530000000000002</v>
      </c>
      <c r="O111" s="13">
        <v>0.1202</v>
      </c>
    </row>
    <row r="112" spans="1:15" x14ac:dyDescent="0.15">
      <c r="A112" s="8"/>
      <c r="B112" s="2"/>
      <c r="C112" s="2"/>
      <c r="D112" s="2"/>
      <c r="E112" s="2"/>
      <c r="F112" s="2"/>
      <c r="G112" s="32"/>
      <c r="H112" s="32"/>
      <c r="I112" s="2"/>
      <c r="J112" s="13"/>
      <c r="K112" s="13"/>
      <c r="L112" s="153"/>
      <c r="M112" s="26"/>
      <c r="N112" s="2"/>
      <c r="O112" s="2"/>
    </row>
    <row r="113" spans="1:15" x14ac:dyDescent="0.15">
      <c r="A113" s="9" t="s">
        <v>66</v>
      </c>
      <c r="B113" s="33">
        <v>2012</v>
      </c>
      <c r="C113" s="33">
        <v>2013</v>
      </c>
      <c r="D113" s="33">
        <v>2014</v>
      </c>
      <c r="E113" s="33">
        <v>2015</v>
      </c>
      <c r="F113" s="33">
        <v>2016</v>
      </c>
      <c r="G113" s="33">
        <v>2017</v>
      </c>
      <c r="H113" s="33">
        <v>2018</v>
      </c>
      <c r="I113" s="33">
        <v>2019</v>
      </c>
      <c r="J113" s="33">
        <v>2020</v>
      </c>
      <c r="K113" s="33">
        <v>2021</v>
      </c>
      <c r="L113" s="33">
        <v>2022</v>
      </c>
      <c r="M113" s="171">
        <v>2023</v>
      </c>
      <c r="N113" s="33">
        <v>2024</v>
      </c>
      <c r="O113" s="33">
        <v>2025</v>
      </c>
    </row>
    <row r="114" spans="1:15" x14ac:dyDescent="0.15">
      <c r="A114" s="8" t="s">
        <v>51</v>
      </c>
      <c r="B114" s="2">
        <v>4814</v>
      </c>
      <c r="C114" s="2">
        <v>4814</v>
      </c>
      <c r="D114" s="2">
        <v>4814</v>
      </c>
      <c r="E114" s="2">
        <v>4857</v>
      </c>
      <c r="F114" s="2">
        <v>4881</v>
      </c>
      <c r="G114" s="2">
        <v>4895</v>
      </c>
      <c r="H114" s="2">
        <v>4934</v>
      </c>
      <c r="I114" s="2">
        <v>4993</v>
      </c>
      <c r="J114" s="2">
        <v>5072</v>
      </c>
      <c r="K114" s="2">
        <v>5153</v>
      </c>
      <c r="L114" s="2">
        <v>5219</v>
      </c>
      <c r="M114" s="26">
        <v>5547</v>
      </c>
      <c r="N114" s="2">
        <v>6074</v>
      </c>
      <c r="O114" s="2">
        <v>6145</v>
      </c>
    </row>
    <row r="115" spans="1:15" x14ac:dyDescent="0.15">
      <c r="A115" s="8" t="s">
        <v>52</v>
      </c>
      <c r="B115" s="2">
        <v>32539</v>
      </c>
      <c r="C115" s="2">
        <v>32539</v>
      </c>
      <c r="D115" s="2">
        <v>32539</v>
      </c>
      <c r="E115" s="2">
        <v>32832</v>
      </c>
      <c r="F115" s="2">
        <v>32969</v>
      </c>
      <c r="G115" s="2">
        <v>33065</v>
      </c>
      <c r="H115" s="2">
        <v>33331</v>
      </c>
      <c r="I115" s="2">
        <v>29753</v>
      </c>
      <c r="J115" s="2">
        <v>30234</v>
      </c>
      <c r="K115" s="2">
        <v>29738</v>
      </c>
      <c r="L115" s="2">
        <v>27350</v>
      </c>
      <c r="M115" s="26">
        <v>29075</v>
      </c>
      <c r="N115" s="2">
        <v>31838</v>
      </c>
      <c r="O115" s="2">
        <v>32223</v>
      </c>
    </row>
    <row r="116" spans="1:15" x14ac:dyDescent="0.15">
      <c r="A116" s="8" t="s">
        <v>93</v>
      </c>
      <c r="B116" s="35">
        <f>IF(B79=TRUE,1.837%,4%)</f>
        <v>0.04</v>
      </c>
      <c r="C116" s="35">
        <f>IF(C79=TRUE,2.064%,4%)</f>
        <v>0.04</v>
      </c>
      <c r="D116" s="35">
        <f>IF(D79=TRUE,2.038%,4%)</f>
        <v>0.04</v>
      </c>
      <c r="E116" s="35">
        <f>IF(E79=TRUE,2.037%,4%)</f>
        <v>0.04</v>
      </c>
      <c r="F116" s="35">
        <f>IF(F79=TRUE,3.143%,6.159%)</f>
        <v>6.1589999999999999E-2</v>
      </c>
      <c r="G116" s="35">
        <f>IF(G79=TRUE,3.143%,6.159%)</f>
        <v>6.1589999999999999E-2</v>
      </c>
      <c r="H116" s="35">
        <f>IF(H79=TRUE,3.143%,6.159%)</f>
        <v>6.1589999999999999E-2</v>
      </c>
      <c r="I116" s="35">
        <f>IF(I79=TRUE,5.86%,11.45%)</f>
        <v>0.11449999999999999</v>
      </c>
      <c r="J116" s="35">
        <f>IF(J79=TRUE,5.963%,11.45%)</f>
        <v>0.11449999999999999</v>
      </c>
      <c r="K116" s="35">
        <f>IF(K79=TRUE,5.963%,11.45%)</f>
        <v>0.11449999999999999</v>
      </c>
      <c r="L116" s="170">
        <f>IF(L79=TRUE,5.921%,11.45%)</f>
        <v>0.11449999999999999</v>
      </c>
      <c r="M116" s="182">
        <f>IF(M79=TRUE,5.921%,11.45%)</f>
        <v>0.11449999999999999</v>
      </c>
      <c r="N116" s="37">
        <v>0.1145</v>
      </c>
      <c r="O116" s="37">
        <v>0.1145</v>
      </c>
    </row>
    <row r="117" spans="1:15" x14ac:dyDescent="0.15">
      <c r="A117" s="8" t="s">
        <v>58</v>
      </c>
      <c r="B117" s="2">
        <f>IF($B$37=TRUE,IF(B79=TRUE,471,1024),0)</f>
        <v>0</v>
      </c>
      <c r="C117" s="2">
        <f>IF($B$37=TRUE,IF(C79=TRUE,529,1024),0)</f>
        <v>0</v>
      </c>
      <c r="D117" s="2">
        <f>IF($B$37=TRUE,IF(D79=TRUE,528,1024),0)</f>
        <v>0</v>
      </c>
      <c r="E117" s="2">
        <f>IF($B$37=TRUE,IF(E79=TRUE,528,1033),0)</f>
        <v>0</v>
      </c>
      <c r="F117" s="2">
        <f>IF($B$37=TRUE,IF(F79=TRUE,531,1039),0)</f>
        <v>0</v>
      </c>
      <c r="G117" s="2">
        <f>IF($B$37=TRUE,IF(G79=TRUE,533,1043),0)</f>
        <v>0</v>
      </c>
      <c r="H117" s="2">
        <f>IF($B$37=TRUE,IF(H79=TRUE,537,1052),0)</f>
        <v>0</v>
      </c>
      <c r="I117" s="2">
        <f>IF($B$37=TRUE,IF(I79=TRUE,0,0),0)</f>
        <v>0</v>
      </c>
      <c r="J117" s="2">
        <f>IF($B$37=TRUE,IF(J79=TRUE,0,0),0)</f>
        <v>0</v>
      </c>
      <c r="K117" s="2">
        <f>IF($B$37=TRUE,IF(K79=TRUE,0,0),0)</f>
        <v>0</v>
      </c>
      <c r="L117" s="2">
        <v>0</v>
      </c>
      <c r="M117" s="26">
        <v>0</v>
      </c>
      <c r="N117" s="2">
        <v>0</v>
      </c>
      <c r="O117" s="22">
        <v>0</v>
      </c>
    </row>
    <row r="118" spans="1:15" x14ac:dyDescent="0.15">
      <c r="A118" s="8" t="s">
        <v>57</v>
      </c>
      <c r="B118" s="2">
        <f>IF(B$79=TRUE,980,2133)</f>
        <v>2133</v>
      </c>
      <c r="C118" s="2">
        <f>IF(C$79=TRUE,1102,2133)</f>
        <v>2133</v>
      </c>
      <c r="D118" s="2">
        <f>IF(D$79=TRUE,1081,2133)</f>
        <v>2133</v>
      </c>
      <c r="E118" s="2">
        <f>IF(E$79=TRUE,1098,2152)</f>
        <v>2152</v>
      </c>
      <c r="F118" s="2">
        <f>IF(F$79=TRUE,1413,2769)</f>
        <v>2769</v>
      </c>
      <c r="G118" s="2">
        <f>IF(G$79=TRUE,1418,2778)</f>
        <v>2778</v>
      </c>
      <c r="H118" s="2">
        <f>IF(H$79=TRUE,1431,2801)</f>
        <v>2801</v>
      </c>
      <c r="I118" s="2">
        <f>IF(I79=TRUE,1452,2835)</f>
        <v>2835</v>
      </c>
      <c r="J118" s="2">
        <f>IF(J79=TRUE,1452,2881)</f>
        <v>2881</v>
      </c>
      <c r="K118" s="2">
        <f>IF(K79=TRUE,1452,2815)</f>
        <v>2815</v>
      </c>
      <c r="L118" s="2">
        <f>IF(L79=TRUE,1311,2534)</f>
        <v>2534</v>
      </c>
      <c r="M118" s="26">
        <f>IF(M79=TRUE,1394,2694)</f>
        <v>2694</v>
      </c>
      <c r="N118" s="2">
        <v>2950</v>
      </c>
      <c r="O118" s="22">
        <v>2986</v>
      </c>
    </row>
    <row r="119" spans="1:15" x14ac:dyDescent="0.15">
      <c r="A119" s="8"/>
      <c r="B119" s="2"/>
      <c r="C119" s="2"/>
      <c r="D119" s="20"/>
      <c r="E119" s="2"/>
      <c r="F119" s="22"/>
      <c r="G119" s="14"/>
      <c r="H119" s="14"/>
      <c r="I119" s="2"/>
      <c r="J119" s="2"/>
      <c r="K119" s="2"/>
      <c r="L119" s="2"/>
      <c r="M119" s="173"/>
      <c r="N119" s="2"/>
      <c r="O119" s="22"/>
    </row>
    <row r="120" spans="1:15" x14ac:dyDescent="0.15">
      <c r="A120" s="33" t="s">
        <v>94</v>
      </c>
      <c r="B120" s="33">
        <v>2012</v>
      </c>
      <c r="C120" s="33">
        <v>2013</v>
      </c>
      <c r="D120" s="33">
        <v>2014</v>
      </c>
      <c r="E120" s="33">
        <v>2015</v>
      </c>
      <c r="F120" s="33">
        <v>2016</v>
      </c>
      <c r="G120" s="33">
        <v>2017</v>
      </c>
      <c r="H120" s="33">
        <v>2018</v>
      </c>
      <c r="I120" s="33">
        <v>2019</v>
      </c>
      <c r="J120" s="33">
        <v>2020</v>
      </c>
      <c r="K120" s="33">
        <v>2021</v>
      </c>
      <c r="L120" s="33">
        <v>2022</v>
      </c>
      <c r="M120" s="171">
        <v>2023</v>
      </c>
      <c r="N120" s="33">
        <v>2024</v>
      </c>
      <c r="O120" s="33">
        <v>2025</v>
      </c>
    </row>
    <row r="121" spans="1:15" x14ac:dyDescent="0.15">
      <c r="A121" s="8" t="s">
        <v>95</v>
      </c>
      <c r="B121" s="13">
        <v>7.0999999999999994E-2</v>
      </c>
      <c r="C121" s="13">
        <v>7.7499999999999999E-2</v>
      </c>
      <c r="D121" s="13">
        <v>7.4999999999999997E-2</v>
      </c>
      <c r="E121" s="13">
        <v>6.9500000000000006E-2</v>
      </c>
      <c r="F121" s="13">
        <v>6.7500000000000004E-2</v>
      </c>
      <c r="G121" s="13">
        <v>6.6500000000000004E-2</v>
      </c>
      <c r="H121" s="13">
        <v>6.9000000000000006E-2</v>
      </c>
      <c r="I121" s="20">
        <v>6.9500000000000006E-2</v>
      </c>
      <c r="J121" s="20">
        <v>6.7000000000000004E-2</v>
      </c>
      <c r="K121" s="20">
        <v>7.0000000000000007E-2</v>
      </c>
      <c r="L121" s="20">
        <v>6.7500000000000004E-2</v>
      </c>
      <c r="M121" s="173">
        <v>6.6799999999999998E-2</v>
      </c>
      <c r="N121" s="185">
        <v>6.5699999999999995E-2</v>
      </c>
      <c r="O121" s="20">
        <v>6.5100000000000005E-2</v>
      </c>
    </row>
    <row r="122" spans="1:15" x14ac:dyDescent="0.15">
      <c r="A122" s="8" t="s">
        <v>96</v>
      </c>
      <c r="B122" s="38">
        <v>0.05</v>
      </c>
      <c r="C122" s="38">
        <v>5.6500000000000002E-2</v>
      </c>
      <c r="D122" s="38">
        <v>5.3999999999999999E-2</v>
      </c>
      <c r="E122" s="38">
        <v>4.8500000000000001E-2</v>
      </c>
      <c r="F122" s="13">
        <v>5.5E-2</v>
      </c>
      <c r="G122" s="13">
        <v>5.3999999999999999E-2</v>
      </c>
      <c r="H122" s="13">
        <v>5.6500000000000002E-2</v>
      </c>
      <c r="I122" s="20">
        <v>5.7000000000000002E-2</v>
      </c>
      <c r="J122" s="20">
        <v>5.45E-2</v>
      </c>
      <c r="K122" s="20">
        <v>5.7500000000000002E-2</v>
      </c>
      <c r="L122" s="20">
        <v>5.5E-2</v>
      </c>
      <c r="M122" s="173">
        <v>5.4300000000000001E-2</v>
      </c>
      <c r="N122" s="185">
        <v>5.3199999999999997E-2</v>
      </c>
      <c r="O122" s="20">
        <v>5.2600000000000001E-2</v>
      </c>
    </row>
    <row r="123" spans="1:15" x14ac:dyDescent="0.15">
      <c r="A123" s="8" t="s">
        <v>97</v>
      </c>
      <c r="B123" s="61">
        <v>50064</v>
      </c>
      <c r="C123" s="61">
        <v>50853</v>
      </c>
      <c r="D123" s="61">
        <v>51414</v>
      </c>
      <c r="E123" s="61">
        <v>51976</v>
      </c>
      <c r="F123" s="61">
        <v>52763</v>
      </c>
      <c r="G123" s="62">
        <v>53701</v>
      </c>
      <c r="H123" s="63">
        <v>54614</v>
      </c>
      <c r="I123" s="63">
        <v>55923</v>
      </c>
      <c r="J123" s="50">
        <v>57232</v>
      </c>
      <c r="K123" s="50">
        <v>58311</v>
      </c>
      <c r="L123" s="50">
        <v>59706</v>
      </c>
      <c r="M123" s="172">
        <v>66952</v>
      </c>
      <c r="N123" s="172">
        <v>71628</v>
      </c>
      <c r="O123" s="50">
        <v>75864</v>
      </c>
    </row>
    <row r="124" spans="1:15" x14ac:dyDescent="0.15">
      <c r="A124" s="8"/>
      <c r="B124" s="2"/>
      <c r="C124" s="2"/>
      <c r="D124" s="20"/>
      <c r="E124" s="2"/>
      <c r="F124" s="22"/>
      <c r="G124" s="14"/>
      <c r="H124" s="14"/>
      <c r="I124" s="2"/>
      <c r="J124" s="2"/>
      <c r="K124" s="2"/>
      <c r="L124" s="2"/>
      <c r="M124" s="173"/>
      <c r="N124" s="2"/>
      <c r="O124" s="22"/>
    </row>
    <row r="125" spans="1:15" x14ac:dyDescent="0.15">
      <c r="A125" s="9" t="s">
        <v>71</v>
      </c>
      <c r="B125" s="33">
        <v>2012</v>
      </c>
      <c r="C125" s="33">
        <v>2013</v>
      </c>
      <c r="D125" s="33">
        <v>2014</v>
      </c>
      <c r="E125" s="33">
        <v>2015</v>
      </c>
      <c r="F125" s="33">
        <v>2016</v>
      </c>
      <c r="G125" s="33">
        <v>2017</v>
      </c>
      <c r="H125" s="33">
        <v>2018</v>
      </c>
      <c r="I125" s="33">
        <v>2019</v>
      </c>
      <c r="J125" s="33">
        <v>2020</v>
      </c>
      <c r="K125" s="33">
        <v>2021</v>
      </c>
      <c r="L125" s="33">
        <v>2022</v>
      </c>
      <c r="M125" s="171">
        <v>2023</v>
      </c>
      <c r="N125" s="33">
        <v>2024</v>
      </c>
      <c r="O125" s="33">
        <v>2025</v>
      </c>
    </row>
    <row r="126" spans="1:15" x14ac:dyDescent="0.15">
      <c r="A126" s="8" t="s">
        <v>7</v>
      </c>
      <c r="B126" s="39">
        <v>0.12</v>
      </c>
      <c r="C126" s="39">
        <v>0.12</v>
      </c>
      <c r="D126" s="20">
        <v>0.109</v>
      </c>
      <c r="E126" s="13">
        <v>9.8000000000000004E-2</v>
      </c>
      <c r="F126" s="13">
        <v>9.8000000000000004E-2</v>
      </c>
      <c r="G126" s="13">
        <v>9.8000000000000004E-2</v>
      </c>
      <c r="H126" s="13">
        <v>9.4399999999999998E-2</v>
      </c>
      <c r="I126" s="13">
        <v>9.4399999999999998E-2</v>
      </c>
      <c r="J126" s="13">
        <f>I126</f>
        <v>9.4399999999999998E-2</v>
      </c>
      <c r="K126" s="13">
        <f t="shared" ref="K126:L126" si="4">J126</f>
        <v>9.4399999999999998E-2</v>
      </c>
      <c r="L126" s="154">
        <f t="shared" si="4"/>
        <v>9.4399999999999998E-2</v>
      </c>
      <c r="M126" s="181">
        <v>0</v>
      </c>
      <c r="N126" s="188">
        <f t="shared" ref="N126:N127" si="5">M126</f>
        <v>0</v>
      </c>
      <c r="O126" s="13">
        <f t="shared" ref="O126:O127" si="6">N126</f>
        <v>0</v>
      </c>
    </row>
    <row r="127" spans="1:15" x14ac:dyDescent="0.15">
      <c r="A127" s="8" t="s">
        <v>98</v>
      </c>
      <c r="B127" s="50">
        <v>9542</v>
      </c>
      <c r="C127" s="50">
        <v>9542</v>
      </c>
      <c r="D127" s="50">
        <v>9542</v>
      </c>
      <c r="E127" s="50">
        <v>8631</v>
      </c>
      <c r="F127" s="50">
        <v>8774</v>
      </c>
      <c r="G127" s="50">
        <v>8946</v>
      </c>
      <c r="H127" s="50">
        <v>8775</v>
      </c>
      <c r="I127" s="50">
        <v>8999</v>
      </c>
      <c r="J127" s="50">
        <v>9218</v>
      </c>
      <c r="K127" s="50">
        <v>9395</v>
      </c>
      <c r="L127" s="50">
        <v>9632</v>
      </c>
      <c r="M127" s="172">
        <v>0</v>
      </c>
      <c r="N127" s="189">
        <f t="shared" si="5"/>
        <v>0</v>
      </c>
      <c r="O127" s="50">
        <f t="shared" si="6"/>
        <v>0</v>
      </c>
    </row>
    <row r="128" spans="1:15" x14ac:dyDescent="0.15">
      <c r="A128" s="8"/>
      <c r="B128" s="2"/>
      <c r="C128" s="2"/>
      <c r="D128" s="2"/>
      <c r="E128" s="2"/>
      <c r="F128" s="2"/>
      <c r="G128" s="32"/>
      <c r="H128" s="32"/>
      <c r="I128" s="2"/>
      <c r="J128" s="2"/>
      <c r="K128" s="2"/>
      <c r="L128" s="2"/>
      <c r="M128" s="26"/>
      <c r="N128" s="2"/>
      <c r="O128" s="2"/>
    </row>
    <row r="129" spans="1:15" x14ac:dyDescent="0.15">
      <c r="A129" s="33"/>
      <c r="B129" s="33">
        <v>2012</v>
      </c>
      <c r="C129" s="33">
        <v>2013</v>
      </c>
      <c r="D129" s="33">
        <v>2014</v>
      </c>
      <c r="E129" s="33">
        <v>2015</v>
      </c>
      <c r="F129" s="33">
        <v>2016</v>
      </c>
      <c r="G129" s="33">
        <v>2017</v>
      </c>
      <c r="H129" s="33">
        <v>2018</v>
      </c>
      <c r="I129" s="33">
        <v>2019</v>
      </c>
      <c r="J129" s="33">
        <v>2020</v>
      </c>
      <c r="K129" s="33">
        <v>2021</v>
      </c>
      <c r="L129" s="33">
        <v>2022</v>
      </c>
      <c r="M129" s="171">
        <v>2023</v>
      </c>
      <c r="N129" s="33">
        <v>2024</v>
      </c>
      <c r="O129" s="33">
        <v>2025</v>
      </c>
    </row>
    <row r="130" spans="1:15" x14ac:dyDescent="0.15">
      <c r="A130" s="9" t="s">
        <v>9</v>
      </c>
      <c r="B130" s="2">
        <f t="shared" ref="B130:G130" si="7">IF($B$79,3640,7280)</f>
        <v>7280</v>
      </c>
      <c r="C130" s="2">
        <f t="shared" si="7"/>
        <v>7280</v>
      </c>
      <c r="D130" s="2">
        <f t="shared" si="7"/>
        <v>7280</v>
      </c>
      <c r="E130" s="2">
        <f t="shared" si="7"/>
        <v>7280</v>
      </c>
      <c r="F130" s="2">
        <f t="shared" si="7"/>
        <v>7280</v>
      </c>
      <c r="G130" s="2">
        <f t="shared" si="7"/>
        <v>7280</v>
      </c>
      <c r="H130" s="2">
        <f t="shared" ref="H130" si="8">IF(H$79,3640,7280)</f>
        <v>7280</v>
      </c>
      <c r="I130" s="2">
        <f>IF(I79,3640,7280)</f>
        <v>7280</v>
      </c>
      <c r="J130" s="2">
        <f>I130-250</f>
        <v>7030</v>
      </c>
      <c r="K130" s="2">
        <f>IF(K79,3335,6670)</f>
        <v>6670</v>
      </c>
      <c r="L130" s="2">
        <f>K130-360</f>
        <v>6310</v>
      </c>
      <c r="M130" s="26">
        <v>5030</v>
      </c>
      <c r="N130" s="186">
        <f>M130-1280</f>
        <v>3750</v>
      </c>
      <c r="O130" s="2">
        <v>2470</v>
      </c>
    </row>
    <row r="131" spans="1:15" x14ac:dyDescent="0.15">
      <c r="A131" s="9" t="s">
        <v>10</v>
      </c>
      <c r="B131" s="2">
        <f t="shared" ref="B131:G131" si="9">IF($B$79,1062,2123)</f>
        <v>2123</v>
      </c>
      <c r="C131" s="2">
        <f t="shared" si="9"/>
        <v>2123</v>
      </c>
      <c r="D131" s="2">
        <f t="shared" si="9"/>
        <v>2123</v>
      </c>
      <c r="E131" s="2">
        <f t="shared" si="9"/>
        <v>2123</v>
      </c>
      <c r="F131" s="2">
        <f t="shared" si="9"/>
        <v>2123</v>
      </c>
      <c r="G131" s="2">
        <f t="shared" si="9"/>
        <v>2123</v>
      </c>
      <c r="H131" s="2">
        <f t="shared" ref="H131" si="10">IF(H$79,1062,2123)</f>
        <v>2123</v>
      </c>
      <c r="I131" s="2">
        <f>IF(I79,1062,2123)</f>
        <v>2123</v>
      </c>
      <c r="J131" s="2">
        <f>IF(J79,1062,2123)</f>
        <v>2123</v>
      </c>
      <c r="K131" s="2">
        <f>IF(K79,1062,2123)</f>
        <v>2123</v>
      </c>
      <c r="L131" s="2">
        <f t="shared" ref="L131" si="11">IF(L79,1062,2123)</f>
        <v>2123</v>
      </c>
      <c r="M131" s="183">
        <v>2123</v>
      </c>
      <c r="N131" s="61">
        <f>N130*50%</f>
        <v>1875</v>
      </c>
      <c r="O131" s="10">
        <v>2123</v>
      </c>
    </row>
    <row r="132" spans="1:15" x14ac:dyDescent="0.15">
      <c r="A132" s="9" t="s">
        <v>99</v>
      </c>
      <c r="B132" s="2"/>
      <c r="C132" s="2"/>
      <c r="D132" s="20"/>
      <c r="E132" s="2"/>
      <c r="F132" s="22"/>
      <c r="G132" s="14"/>
      <c r="H132" s="14"/>
      <c r="I132" s="2"/>
      <c r="J132" s="2"/>
      <c r="K132" s="2"/>
      <c r="L132" s="2"/>
      <c r="M132" s="173"/>
      <c r="N132" s="2"/>
      <c r="O132" s="22"/>
    </row>
    <row r="133" spans="1:15" x14ac:dyDescent="0.15">
      <c r="A133" s="8"/>
      <c r="B133" s="2"/>
      <c r="C133" s="2"/>
      <c r="D133" s="20"/>
      <c r="E133" s="2"/>
      <c r="F133" s="22"/>
      <c r="G133" s="14"/>
      <c r="H133" s="14"/>
      <c r="I133" s="2"/>
      <c r="J133" s="2"/>
      <c r="K133" s="2"/>
      <c r="L133" s="2"/>
      <c r="M133" s="173"/>
      <c r="N133" s="2"/>
      <c r="O133" s="22"/>
    </row>
    <row r="134" spans="1:15" x14ac:dyDescent="0.15">
      <c r="A134" s="9" t="s">
        <v>12</v>
      </c>
      <c r="B134" s="33">
        <v>2012</v>
      </c>
      <c r="C134" s="33">
        <v>2013</v>
      </c>
      <c r="D134" s="33">
        <v>2014</v>
      </c>
      <c r="E134" s="33">
        <v>2015</v>
      </c>
      <c r="F134" s="33">
        <v>2016</v>
      </c>
      <c r="G134" s="33">
        <v>2017</v>
      </c>
      <c r="H134" s="33">
        <v>2018</v>
      </c>
      <c r="I134" s="33">
        <v>2019</v>
      </c>
      <c r="J134" s="33">
        <v>2020</v>
      </c>
      <c r="K134" s="33">
        <v>2021</v>
      </c>
      <c r="L134" s="33">
        <v>2022</v>
      </c>
      <c r="M134" s="171">
        <v>2023</v>
      </c>
      <c r="N134" s="33">
        <v>2024</v>
      </c>
      <c r="O134" s="33">
        <v>2025</v>
      </c>
    </row>
    <row r="135" spans="1:15" x14ac:dyDescent="0.15">
      <c r="A135" s="8"/>
      <c r="B135" s="19">
        <v>0.12</v>
      </c>
      <c r="C135" s="19">
        <v>0.14000000000000001</v>
      </c>
      <c r="D135" s="19">
        <v>0.14000000000000001</v>
      </c>
      <c r="E135" s="19">
        <v>0.14000000000000001</v>
      </c>
      <c r="F135" s="19">
        <v>0.14000000000000001</v>
      </c>
      <c r="G135" s="19">
        <v>0.14000000000000001</v>
      </c>
      <c r="H135" s="19">
        <v>0.14000000000000001</v>
      </c>
      <c r="I135" s="19">
        <v>0.14000000000000001</v>
      </c>
      <c r="J135" s="19">
        <v>0.14000000000000001</v>
      </c>
      <c r="K135" s="19">
        <v>0.14000000000000001</v>
      </c>
      <c r="L135" s="19">
        <v>0.14000000000000001</v>
      </c>
      <c r="M135" s="174">
        <v>0.14000000000000001</v>
      </c>
      <c r="N135" s="19">
        <v>0.1331</v>
      </c>
      <c r="O135" s="20">
        <v>0.127</v>
      </c>
    </row>
    <row r="136" spans="1:15" x14ac:dyDescent="0.15">
      <c r="A136" s="8"/>
      <c r="B136" s="2"/>
      <c r="C136" s="2"/>
      <c r="D136" s="2"/>
      <c r="E136" s="2"/>
      <c r="F136" s="2"/>
      <c r="G136" s="32"/>
      <c r="H136" s="32"/>
      <c r="I136" s="2"/>
      <c r="J136" s="2"/>
      <c r="K136" s="2"/>
      <c r="L136" s="2"/>
      <c r="M136" s="26"/>
      <c r="N136" s="2"/>
      <c r="O136" s="2"/>
    </row>
    <row r="137" spans="1:15" x14ac:dyDescent="0.15">
      <c r="A137" s="9" t="s">
        <v>6</v>
      </c>
      <c r="B137" s="33">
        <v>2012</v>
      </c>
      <c r="C137" s="33">
        <v>2013</v>
      </c>
      <c r="D137" s="33">
        <v>2014</v>
      </c>
      <c r="E137" s="33">
        <v>2015</v>
      </c>
      <c r="F137" s="33">
        <v>2016</v>
      </c>
      <c r="G137" s="33">
        <v>2017</v>
      </c>
      <c r="H137" s="33">
        <v>2018</v>
      </c>
      <c r="I137" s="33">
        <v>2019</v>
      </c>
      <c r="J137" s="33">
        <v>2020</v>
      </c>
      <c r="K137" s="33">
        <v>2021</v>
      </c>
      <c r="L137" s="33">
        <v>2022</v>
      </c>
      <c r="M137" s="171">
        <v>2023</v>
      </c>
      <c r="N137" s="33">
        <v>2024</v>
      </c>
      <c r="O137" s="33">
        <v>2025</v>
      </c>
    </row>
    <row r="138" spans="1:15" x14ac:dyDescent="0.15">
      <c r="A138" s="8" t="s">
        <v>100</v>
      </c>
      <c r="B138" s="64">
        <v>1040000</v>
      </c>
      <c r="C138" s="64">
        <v>1040000</v>
      </c>
      <c r="D138" s="64">
        <v>1040000</v>
      </c>
      <c r="E138" s="64">
        <v>1050000</v>
      </c>
      <c r="F138" s="64">
        <v>1050000</v>
      </c>
      <c r="G138" s="64">
        <v>1060000</v>
      </c>
      <c r="H138" s="64">
        <v>1060000</v>
      </c>
      <c r="I138" s="64">
        <v>1080000</v>
      </c>
      <c r="J138" s="64">
        <v>1090000</v>
      </c>
      <c r="K138" s="64">
        <v>1110000</v>
      </c>
      <c r="L138" s="64">
        <v>1130000</v>
      </c>
      <c r="M138" s="184">
        <v>1200000</v>
      </c>
      <c r="N138" s="187">
        <v>1310000</v>
      </c>
      <c r="O138" s="64">
        <v>1330000</v>
      </c>
    </row>
    <row r="139" spans="1:15" x14ac:dyDescent="0.15">
      <c r="A139" s="8">
        <v>12500</v>
      </c>
      <c r="B139" s="20">
        <v>2E-3</v>
      </c>
      <c r="C139" s="20">
        <v>2E-3</v>
      </c>
      <c r="D139" s="20">
        <v>2.5000000000000001E-3</v>
      </c>
      <c r="E139" s="20">
        <v>3.0000000000000001E-3</v>
      </c>
      <c r="F139" s="20">
        <v>3.0000000000000001E-3</v>
      </c>
      <c r="G139" s="20">
        <v>3.0000000000000001E-3</v>
      </c>
      <c r="H139" s="20">
        <v>2.5000000000000001E-3</v>
      </c>
      <c r="I139" s="20">
        <v>2.5000000000000001E-3</v>
      </c>
      <c r="J139" s="20">
        <v>2E-3</v>
      </c>
      <c r="K139" s="20">
        <v>2E-3</v>
      </c>
      <c r="L139" s="20">
        <v>1.5E-3</v>
      </c>
      <c r="M139" s="173">
        <v>1E-3</v>
      </c>
      <c r="N139" s="2">
        <v>1E-3</v>
      </c>
      <c r="O139" s="2">
        <v>1E-3</v>
      </c>
    </row>
    <row r="140" spans="1:15" x14ac:dyDescent="0.15">
      <c r="A140" s="8">
        <v>25000</v>
      </c>
      <c r="B140" s="65">
        <v>3.5000000000000001E-3</v>
      </c>
      <c r="C140" s="65">
        <v>3.5000000000000001E-3</v>
      </c>
      <c r="D140" s="65">
        <v>4.0000000000000001E-3</v>
      </c>
      <c r="E140" s="65">
        <v>4.4999999999999997E-3</v>
      </c>
      <c r="F140" s="65">
        <v>4.4999999999999997E-3</v>
      </c>
      <c r="G140" s="65">
        <v>4.4999999999999997E-3</v>
      </c>
      <c r="H140" s="65">
        <v>4.0000000000000001E-3</v>
      </c>
      <c r="I140" s="48">
        <v>3.5000000000000001E-3</v>
      </c>
      <c r="J140" s="48">
        <v>3.5000000000000001E-3</v>
      </c>
      <c r="K140" s="48">
        <v>3.0000000000000001E-3</v>
      </c>
      <c r="L140" s="48">
        <v>2.5000000000000001E-3</v>
      </c>
      <c r="M140" s="48">
        <v>2E-3</v>
      </c>
      <c r="N140" s="61">
        <v>2E-3</v>
      </c>
      <c r="O140" s="61">
        <v>2E-3</v>
      </c>
    </row>
    <row r="141" spans="1:15" x14ac:dyDescent="0.15">
      <c r="A141" s="8">
        <v>50000</v>
      </c>
      <c r="B141" s="20">
        <v>4.4999999999999997E-3</v>
      </c>
      <c r="C141" s="20">
        <v>4.4999999999999997E-3</v>
      </c>
      <c r="D141" s="20">
        <v>5.4999999999999997E-3</v>
      </c>
      <c r="E141" s="20">
        <v>6.0000000000000001E-3</v>
      </c>
      <c r="F141" s="20">
        <v>6.0000000000000001E-3</v>
      </c>
      <c r="G141" s="20">
        <v>6.0000000000000001E-3</v>
      </c>
      <c r="H141" s="20">
        <v>5.4999999999999997E-3</v>
      </c>
      <c r="I141" s="48">
        <v>5.0000000000000001E-3</v>
      </c>
      <c r="J141" s="48">
        <v>4.4999999999999997E-3</v>
      </c>
      <c r="K141" s="48">
        <v>4.0000000000000001E-3</v>
      </c>
      <c r="L141" s="48">
        <v>3.5000000000000001E-3</v>
      </c>
      <c r="M141" s="48">
        <v>2.5000000000000001E-3</v>
      </c>
      <c r="N141" s="2">
        <v>2.5000000000000001E-3</v>
      </c>
      <c r="O141" s="22">
        <v>2.5000000000000001E-3</v>
      </c>
    </row>
    <row r="142" spans="1:15" x14ac:dyDescent="0.15">
      <c r="A142" s="8">
        <v>75000</v>
      </c>
      <c r="B142" s="20">
        <v>6.0000000000000001E-3</v>
      </c>
      <c r="C142" s="20">
        <v>6.0000000000000001E-3</v>
      </c>
      <c r="D142" s="20">
        <v>7.0000000000000001E-3</v>
      </c>
      <c r="E142" s="20">
        <v>7.4999999999999997E-3</v>
      </c>
      <c r="F142" s="20">
        <v>7.4999999999999997E-3</v>
      </c>
      <c r="G142" s="20">
        <v>7.4999999999999997E-3</v>
      </c>
      <c r="H142" s="20">
        <v>7.0000000000000001E-3</v>
      </c>
      <c r="I142" s="48">
        <v>6.4999999999999997E-3</v>
      </c>
      <c r="J142" s="48">
        <v>6.0000000000000001E-3</v>
      </c>
      <c r="K142" s="48">
        <v>5.0000000000000001E-3</v>
      </c>
      <c r="L142" s="48">
        <v>4.4999999999999997E-3</v>
      </c>
      <c r="M142" s="48">
        <v>3.5000000000000001E-3</v>
      </c>
      <c r="N142" s="2">
        <v>3.5000000000000001E-3</v>
      </c>
      <c r="O142" s="22">
        <v>3.5000000000000001E-3</v>
      </c>
    </row>
    <row r="143" spans="1:15" x14ac:dyDescent="0.15">
      <c r="A143" s="8">
        <f>LOOKUP(A1,B137:O137,B138:O138)</f>
        <v>1330000</v>
      </c>
      <c r="B143" s="20">
        <v>1.2999999999999999E-2</v>
      </c>
      <c r="C143" s="20">
        <v>1.55E-2</v>
      </c>
      <c r="D143" s="20">
        <v>1.7999999999999999E-2</v>
      </c>
      <c r="E143" s="20">
        <v>2.0500000000000001E-2</v>
      </c>
      <c r="F143" s="20">
        <v>2.35E-2</v>
      </c>
      <c r="G143" s="20">
        <v>2.35E-2</v>
      </c>
      <c r="H143" s="20">
        <v>2.35E-2</v>
      </c>
      <c r="I143" s="48">
        <v>2.35E-2</v>
      </c>
      <c r="J143" s="48">
        <v>2.35E-2</v>
      </c>
      <c r="K143" s="48">
        <v>2.35E-2</v>
      </c>
      <c r="L143" s="48">
        <v>2.35E-2</v>
      </c>
      <c r="M143" s="48">
        <v>2.35E-2</v>
      </c>
      <c r="N143" s="2">
        <v>2.35E-2</v>
      </c>
      <c r="O143" s="22">
        <v>2.35E-2</v>
      </c>
    </row>
    <row r="144" spans="1:15" x14ac:dyDescent="0.15">
      <c r="A144" s="8" t="s">
        <v>102</v>
      </c>
      <c r="B144" s="19">
        <v>1</v>
      </c>
      <c r="C144" s="19">
        <v>1</v>
      </c>
      <c r="D144" s="19">
        <v>1</v>
      </c>
      <c r="E144" s="19">
        <v>1</v>
      </c>
      <c r="F144" s="19">
        <v>1</v>
      </c>
      <c r="G144" s="19">
        <v>1</v>
      </c>
      <c r="H144" s="19">
        <v>1</v>
      </c>
      <c r="I144" s="20">
        <f>H144-(1/30)</f>
        <v>0.96666666666666667</v>
      </c>
      <c r="J144" s="20">
        <f t="shared" ref="J144:O144" si="12">I144-(1/30)</f>
        <v>0.93333333333333335</v>
      </c>
      <c r="K144" s="20">
        <f t="shared" si="12"/>
        <v>0.9</v>
      </c>
      <c r="L144" s="20">
        <f t="shared" si="12"/>
        <v>0.8666666666666667</v>
      </c>
      <c r="M144" s="173">
        <f t="shared" si="12"/>
        <v>0.83333333333333337</v>
      </c>
      <c r="N144" s="20">
        <f t="shared" si="12"/>
        <v>0.8</v>
      </c>
      <c r="O144" s="20">
        <f t="shared" si="12"/>
        <v>0.76666666666666672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O144"/>
  <sheetViews>
    <sheetView showGridLines="0" zoomScale="57" workbookViewId="0"/>
  </sheetViews>
  <sheetFormatPr defaultColWidth="0.140625" defaultRowHeight="11.25" x14ac:dyDescent="0.15"/>
  <cols>
    <col min="1" max="1" width="36"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00">
        <f>'1'!E5</f>
        <v>2025</v>
      </c>
      <c r="B1" s="2" t="s">
        <v>44</v>
      </c>
      <c r="C1" s="2"/>
      <c r="D1" s="3">
        <f ca="1">D12-D24-D32-D35</f>
        <v>0</v>
      </c>
      <c r="E1" s="2"/>
      <c r="F1" s="4"/>
      <c r="G1" s="2"/>
      <c r="H1" s="2"/>
      <c r="I1" s="5"/>
      <c r="J1" s="2"/>
      <c r="K1" s="2"/>
      <c r="L1" s="2"/>
      <c r="M1" s="2"/>
      <c r="N1" s="2"/>
      <c r="O1" s="2"/>
    </row>
    <row r="2" spans="1:15" ht="15" x14ac:dyDescent="0.15">
      <c r="A2" s="201">
        <f>'1'!E131</f>
        <v>0</v>
      </c>
      <c r="B2" s="2" t="s">
        <v>101</v>
      </c>
      <c r="C2" s="2"/>
      <c r="D2" s="3"/>
      <c r="E2" s="2"/>
      <c r="F2" s="2"/>
      <c r="G2" s="2"/>
      <c r="H2" s="2"/>
      <c r="I2" s="5"/>
      <c r="J2" s="2"/>
      <c r="K2" s="2"/>
      <c r="L2" s="2"/>
      <c r="M2" s="2"/>
      <c r="N2" s="2"/>
      <c r="O2" s="2"/>
    </row>
    <row r="3" spans="1:15" x14ac:dyDescent="0.15">
      <c r="A3" s="202">
        <f>'1'!E139</f>
        <v>0</v>
      </c>
      <c r="B3" s="2" t="s">
        <v>42</v>
      </c>
      <c r="C3" s="2"/>
      <c r="D3" s="2"/>
      <c r="E3" s="2"/>
      <c r="F3" s="6"/>
      <c r="G3" s="2"/>
      <c r="H3" s="2"/>
      <c r="I3" s="2"/>
      <c r="J3" s="2"/>
      <c r="K3" s="2"/>
      <c r="L3" s="2"/>
      <c r="M3" s="2"/>
      <c r="N3" s="2"/>
      <c r="O3" s="2"/>
    </row>
    <row r="4" spans="1:15" x14ac:dyDescent="0.15">
      <c r="A4" s="203">
        <f>'1'!E10</f>
        <v>36526</v>
      </c>
      <c r="B4" s="2" t="s">
        <v>45</v>
      </c>
      <c r="C4" s="2"/>
      <c r="D4" s="2"/>
      <c r="E4" s="2"/>
      <c r="F4" s="7"/>
      <c r="G4" s="2"/>
      <c r="H4" s="2"/>
      <c r="I4" s="2"/>
      <c r="J4" s="2"/>
      <c r="K4" s="2"/>
      <c r="L4" s="2"/>
      <c r="M4" s="2"/>
      <c r="N4" s="2"/>
      <c r="O4" s="2"/>
    </row>
    <row r="5" spans="1:15" x14ac:dyDescent="0.15">
      <c r="A5" s="8"/>
      <c r="B5" s="2"/>
      <c r="C5" s="2"/>
      <c r="D5" s="2"/>
      <c r="E5" s="2"/>
      <c r="F5" s="4"/>
      <c r="G5" s="2"/>
      <c r="H5" s="2"/>
      <c r="I5" s="2"/>
      <c r="J5" s="2"/>
      <c r="K5" s="2"/>
      <c r="L5" s="2"/>
      <c r="M5" s="2"/>
      <c r="N5" s="2"/>
      <c r="O5" s="2"/>
    </row>
    <row r="6" spans="1:15" x14ac:dyDescent="0.15">
      <c r="A6" s="9" t="s">
        <v>46</v>
      </c>
      <c r="B6" s="2"/>
      <c r="C6" s="2"/>
      <c r="D6" s="2"/>
      <c r="E6" s="2"/>
      <c r="F6" s="4"/>
      <c r="G6" s="2"/>
      <c r="H6" s="2"/>
      <c r="I6" s="2"/>
      <c r="J6" s="2"/>
      <c r="K6" s="2"/>
      <c r="L6" s="2"/>
      <c r="M6" s="2"/>
      <c r="N6" s="2"/>
      <c r="O6" s="2"/>
    </row>
    <row r="7" spans="1:15" x14ac:dyDescent="0.15">
      <c r="A7" s="9" t="s">
        <v>47</v>
      </c>
      <c r="B7" s="10" t="s">
        <v>48</v>
      </c>
      <c r="C7" s="10" t="s">
        <v>49</v>
      </c>
      <c r="D7" s="11" t="s">
        <v>50</v>
      </c>
      <c r="E7" s="2"/>
      <c r="F7" s="12"/>
      <c r="G7" s="10"/>
      <c r="H7" s="10"/>
      <c r="I7" s="11"/>
      <c r="J7" s="2"/>
      <c r="K7" s="2"/>
      <c r="L7" s="2"/>
      <c r="M7" s="2"/>
      <c r="N7" s="2"/>
      <c r="O7" s="2"/>
    </row>
    <row r="8" spans="1:15" x14ac:dyDescent="0.15">
      <c r="A8" s="8" t="s">
        <v>51</v>
      </c>
      <c r="B8" s="2">
        <f>LOOKUP($A$1,$B$73:$O$73,B74:O74)</f>
        <v>26288</v>
      </c>
      <c r="C8" s="13">
        <f ca="1">LOOKUP($A$1,$B$73:$O$73,B80:G80)</f>
        <v>0.35820000000000002</v>
      </c>
      <c r="D8" s="14">
        <f ca="1">IF($A$3&gt;$B8,$B8*$C8,$A$3*$C8)</f>
        <v>0</v>
      </c>
      <c r="E8" s="2"/>
      <c r="F8" s="15"/>
      <c r="G8" s="2"/>
      <c r="H8" s="13"/>
      <c r="I8" s="14"/>
      <c r="J8" s="2"/>
      <c r="K8" s="2"/>
      <c r="L8" s="2"/>
      <c r="M8" s="2"/>
      <c r="N8" s="2"/>
      <c r="O8" s="2"/>
    </row>
    <row r="9" spans="1:15" x14ac:dyDescent="0.15">
      <c r="A9" s="8" t="s">
        <v>52</v>
      </c>
      <c r="B9" s="2">
        <f>LOOKUP($A$1,$B$73:$O$73,B75:O75)</f>
        <v>38441</v>
      </c>
      <c r="C9" s="13">
        <f ca="1">LOOKUP($A$1,$B$73:$O$73,B81:G81)</f>
        <v>0.35820000000000002</v>
      </c>
      <c r="D9" s="14">
        <f ca="1">MAX(IF($A$3&gt;$B9,($B9-$B8)*$C9,($A$3-$B8)*$C9),0)</f>
        <v>0</v>
      </c>
      <c r="E9" s="2"/>
      <c r="F9" s="15"/>
      <c r="G9" s="2"/>
      <c r="H9" s="13"/>
      <c r="I9" s="14"/>
      <c r="J9" s="2"/>
      <c r="K9" s="2"/>
      <c r="L9" s="2"/>
      <c r="M9" s="2"/>
      <c r="N9" s="2"/>
      <c r="O9" s="2"/>
    </row>
    <row r="10" spans="1:15" x14ac:dyDescent="0.15">
      <c r="A10" s="8" t="s">
        <v>53</v>
      </c>
      <c r="B10" s="2">
        <f>LOOKUP($A$1,$B$73:$O$73,B76:O76)</f>
        <v>76817</v>
      </c>
      <c r="C10" s="13">
        <f ca="1">LOOKUP($A$1,$B$73:$O$73,B82:G82)</f>
        <v>0.37480000000000002</v>
      </c>
      <c r="D10" s="14">
        <f ca="1">MAX(IF($A$3&gt;$B10,($B10-$B9)*$C10,($A$3-$B9)*$C10),0)</f>
        <v>0</v>
      </c>
      <c r="E10" s="2"/>
      <c r="F10" s="15"/>
      <c r="G10" s="2"/>
      <c r="H10" s="13"/>
      <c r="I10" s="14"/>
      <c r="J10" s="2"/>
      <c r="K10" s="2"/>
      <c r="L10" s="2"/>
      <c r="M10" s="2"/>
      <c r="N10" s="2"/>
      <c r="O10" s="2"/>
    </row>
    <row r="11" spans="1:15" x14ac:dyDescent="0.15">
      <c r="A11" s="8" t="s">
        <v>54</v>
      </c>
      <c r="B11" s="16">
        <v>1E+100</v>
      </c>
      <c r="C11" s="13">
        <f ca="1">LOOKUP($A$1,$B$73:$O$73,B83:G83)</f>
        <v>0.495</v>
      </c>
      <c r="D11" s="14">
        <f ca="1">MAX(IF($A$3&gt;$B11,($B11-$B10)*$C11,($A$3-$B10)*$C11),0)</f>
        <v>0</v>
      </c>
      <c r="E11" s="2"/>
      <c r="F11" s="15"/>
      <c r="G11" s="16"/>
      <c r="H11" s="13"/>
      <c r="I11" s="14"/>
      <c r="J11" s="2"/>
      <c r="K11" s="2"/>
      <c r="L11" s="2"/>
      <c r="M11" s="2"/>
      <c r="N11" s="2"/>
      <c r="O11" s="2"/>
    </row>
    <row r="12" spans="1:15" ht="15" x14ac:dyDescent="0.15">
      <c r="A12" s="8"/>
      <c r="B12" s="2"/>
      <c r="C12" s="2"/>
      <c r="D12" s="17">
        <f ca="1">ROUNDDOWN(SUM(D8:D11),0)</f>
        <v>0</v>
      </c>
      <c r="E12" s="2"/>
      <c r="F12" s="15"/>
      <c r="G12" s="2"/>
      <c r="H12" s="2"/>
      <c r="I12" s="18"/>
      <c r="J12" s="2"/>
      <c r="K12" s="2"/>
      <c r="L12" s="2"/>
      <c r="M12" s="2"/>
      <c r="N12" s="2"/>
      <c r="O12" s="2"/>
    </row>
    <row r="13" spans="1:15" ht="15" x14ac:dyDescent="0.15">
      <c r="A13" s="8"/>
      <c r="B13" s="2"/>
      <c r="C13" s="2"/>
      <c r="D13" s="18"/>
      <c r="E13" s="2"/>
      <c r="F13" s="8"/>
      <c r="G13" s="2"/>
      <c r="H13" s="2"/>
      <c r="I13" s="18"/>
      <c r="J13" s="2"/>
      <c r="K13" s="2"/>
      <c r="L13" s="2"/>
      <c r="M13" s="2"/>
      <c r="N13" s="2"/>
      <c r="O13" s="2"/>
    </row>
    <row r="14" spans="1:15" ht="15" x14ac:dyDescent="0.15">
      <c r="A14" s="9" t="s">
        <v>55</v>
      </c>
      <c r="B14" s="14">
        <f>A2-D19</f>
        <v>0</v>
      </c>
      <c r="C14" s="2"/>
      <c r="D14" s="41">
        <f>ROUNDDOWN(SUM(D15:D16),0)</f>
        <v>0</v>
      </c>
      <c r="E14" s="2"/>
      <c r="F14" s="8"/>
      <c r="G14" s="2"/>
      <c r="H14" s="2"/>
      <c r="I14" s="18"/>
      <c r="J14" s="2"/>
      <c r="K14" s="2"/>
      <c r="L14" s="2"/>
      <c r="M14" s="2"/>
      <c r="N14" s="2"/>
      <c r="O14" s="2"/>
    </row>
    <row r="15" spans="1:15" ht="15" x14ac:dyDescent="0.15">
      <c r="A15" s="9"/>
      <c r="B15" s="2">
        <v>250000</v>
      </c>
      <c r="C15" s="36">
        <f>LOOKUP(A1,B73:O73,B85:O85)</f>
        <v>0.31</v>
      </c>
      <c r="D15" s="2">
        <f>IF(B14&gt;B15,B15*C15,B14*C15)</f>
        <v>0</v>
      </c>
      <c r="E15" s="2"/>
      <c r="F15" s="8"/>
      <c r="G15" s="2"/>
      <c r="H15" s="2"/>
      <c r="I15" s="18"/>
      <c r="J15" s="2"/>
      <c r="K15" s="2"/>
      <c r="L15" s="2"/>
      <c r="M15" s="2"/>
      <c r="N15" s="2"/>
      <c r="O15" s="2"/>
    </row>
    <row r="16" spans="1:15" ht="15" x14ac:dyDescent="0.15">
      <c r="A16" s="2"/>
      <c r="B16" s="2"/>
      <c r="C16" s="19">
        <f>MAX(C15,0.25)</f>
        <v>0.31</v>
      </c>
      <c r="D16" s="2">
        <f>IF(B14&gt;B15,(B14-B15)*C16,0)</f>
        <v>0</v>
      </c>
      <c r="E16" s="2"/>
      <c r="F16" s="8"/>
      <c r="G16" s="2"/>
      <c r="H16" s="2"/>
      <c r="I16" s="18"/>
      <c r="J16" s="2"/>
      <c r="K16" s="2"/>
      <c r="L16" s="2"/>
      <c r="M16" s="2"/>
      <c r="N16" s="2"/>
      <c r="O16" s="2"/>
    </row>
    <row r="17" spans="1:15" ht="15" x14ac:dyDescent="0.15">
      <c r="A17" s="8"/>
      <c r="B17" s="2"/>
      <c r="C17" s="2"/>
      <c r="D17" s="18"/>
      <c r="E17" s="2"/>
      <c r="F17" s="8"/>
      <c r="G17" s="2"/>
      <c r="H17" s="2"/>
      <c r="I17" s="18"/>
      <c r="J17" s="2"/>
      <c r="K17" s="2"/>
      <c r="L17" s="2"/>
      <c r="M17" s="2"/>
      <c r="N17" s="2"/>
      <c r="O17" s="2"/>
    </row>
    <row r="18" spans="1:15" ht="15" x14ac:dyDescent="0.15">
      <c r="A18" s="9" t="s">
        <v>8</v>
      </c>
      <c r="B18" s="2"/>
      <c r="C18" s="2"/>
      <c r="D18" s="18"/>
      <c r="E18" s="2"/>
      <c r="F18" s="8"/>
      <c r="G18" s="2"/>
      <c r="H18" s="2"/>
      <c r="I18" s="18"/>
      <c r="J18" s="2"/>
      <c r="K18" s="2"/>
      <c r="L18" s="2"/>
      <c r="M18" s="2"/>
      <c r="N18" s="2"/>
      <c r="O18" s="2"/>
    </row>
    <row r="19" spans="1:15" ht="15" x14ac:dyDescent="0.15">
      <c r="A19" s="201">
        <f>'1'!E131</f>
        <v>0</v>
      </c>
      <c r="B19" s="2">
        <f>LOOKUP(A1,B87:O87,B88:O88)</f>
        <v>200000</v>
      </c>
      <c r="C19" s="19">
        <f>LOOKUP(A1,B87:O87,B89:O89)</f>
        <v>0.19</v>
      </c>
      <c r="D19" s="17">
        <f>IF(A19&lt;B19,A19*C19,(B19*C19)+((A19-B19)*C20))</f>
        <v>0</v>
      </c>
      <c r="E19" s="2"/>
      <c r="F19" s="8"/>
      <c r="G19" s="2"/>
      <c r="H19" s="2"/>
      <c r="I19" s="18"/>
      <c r="J19" s="2"/>
      <c r="K19" s="2"/>
      <c r="L19" s="2"/>
      <c r="M19" s="2"/>
      <c r="N19" s="2"/>
      <c r="O19" s="2"/>
    </row>
    <row r="20" spans="1:15" ht="15" x14ac:dyDescent="0.15">
      <c r="A20" s="8"/>
      <c r="B20" s="2"/>
      <c r="C20" s="19">
        <f>LOOKUP(A1,B87:O87,B90:O90)</f>
        <v>0.25800000000000001</v>
      </c>
      <c r="D20" s="18"/>
      <c r="E20" s="2"/>
      <c r="F20" s="8"/>
      <c r="G20" s="2"/>
      <c r="H20" s="2"/>
      <c r="I20" s="18"/>
      <c r="J20" s="2"/>
      <c r="K20" s="2"/>
      <c r="L20" s="2"/>
      <c r="M20" s="2"/>
      <c r="N20" s="2"/>
      <c r="O20" s="2"/>
    </row>
    <row r="21" spans="1:15" x14ac:dyDescent="0.15">
      <c r="A21" s="9" t="s">
        <v>56</v>
      </c>
      <c r="B21" s="2"/>
      <c r="C21" s="2"/>
      <c r="D21" s="2"/>
      <c r="E21" s="2"/>
      <c r="F21" s="8"/>
      <c r="G21" s="2"/>
      <c r="H21" s="2"/>
      <c r="I21" s="2"/>
      <c r="J21" s="2"/>
      <c r="K21" s="2"/>
      <c r="L21" s="2"/>
      <c r="M21" s="2"/>
      <c r="N21" s="2"/>
      <c r="O21" s="2"/>
    </row>
    <row r="22" spans="1:15" x14ac:dyDescent="0.15">
      <c r="A22" s="9" t="s">
        <v>57</v>
      </c>
      <c r="B22" s="10">
        <f>LOOKUP(A1,B73:O73,B92:O92)</f>
        <v>3068</v>
      </c>
      <c r="C22" s="10"/>
      <c r="D22" s="11"/>
      <c r="E22" s="2"/>
      <c r="F22" s="9"/>
      <c r="G22" s="10"/>
      <c r="H22" s="10"/>
      <c r="I22" s="11"/>
      <c r="J22" s="2"/>
      <c r="K22" s="2"/>
      <c r="L22" s="2"/>
      <c r="M22" s="2"/>
      <c r="N22" s="2"/>
      <c r="O22" s="2"/>
    </row>
    <row r="23" spans="1:15" x14ac:dyDescent="0.15">
      <c r="A23" s="8" t="s">
        <v>58</v>
      </c>
      <c r="B23" s="2">
        <f>LOOKUP(A1,B73:O73,B94:O94)</f>
        <v>0</v>
      </c>
      <c r="C23" s="2"/>
      <c r="D23" s="14"/>
      <c r="E23" s="2"/>
      <c r="F23" s="8"/>
      <c r="G23" s="2"/>
      <c r="H23" s="2"/>
      <c r="I23" s="14"/>
      <c r="J23" s="2"/>
      <c r="K23" s="2"/>
      <c r="L23" s="2"/>
      <c r="M23" s="2"/>
      <c r="N23" s="2"/>
      <c r="O23" s="2"/>
    </row>
    <row r="24" spans="1:15" ht="15" x14ac:dyDescent="0.15">
      <c r="A24" s="8" t="s">
        <v>59</v>
      </c>
      <c r="B24" s="2">
        <f>LOOKUP($A$1,$B$73:$O$73,B74:O74)</f>
        <v>26288</v>
      </c>
      <c r="C24" s="2">
        <f>LOOKUP($A$1,$B$73:$O$73,B93:O93)</f>
        <v>6.3369999999999996E-2</v>
      </c>
      <c r="D24" s="17">
        <f ca="1">MIN(MAX(IF(A3&gt;B24,B22-((A3-B24)*C24),B22),B23),D12)</f>
        <v>0</v>
      </c>
      <c r="E24" s="2"/>
      <c r="F24" s="8"/>
      <c r="G24" s="2"/>
      <c r="H24" s="2"/>
      <c r="I24" s="18"/>
      <c r="J24" s="2"/>
      <c r="K24" s="2"/>
      <c r="L24" s="2"/>
      <c r="M24" s="2"/>
      <c r="N24" s="2"/>
      <c r="O24" s="2"/>
    </row>
    <row r="25" spans="1:15" x14ac:dyDescent="0.15">
      <c r="A25" s="8"/>
      <c r="B25" s="2"/>
      <c r="C25" s="2"/>
      <c r="D25" s="20"/>
      <c r="E25" s="2"/>
      <c r="F25" s="21"/>
      <c r="G25" s="14"/>
      <c r="H25" s="14"/>
      <c r="I25" s="2"/>
      <c r="J25" s="2"/>
      <c r="K25" s="2"/>
      <c r="L25" s="2"/>
      <c r="M25" s="20"/>
      <c r="N25" s="2"/>
      <c r="O25" s="22"/>
    </row>
    <row r="26" spans="1:15" x14ac:dyDescent="0.15">
      <c r="A26" s="8"/>
      <c r="B26" s="2"/>
      <c r="C26" s="2"/>
      <c r="D26" s="20"/>
      <c r="E26" s="2"/>
      <c r="F26" s="21"/>
      <c r="G26" s="14"/>
      <c r="H26" s="14"/>
      <c r="I26" s="2"/>
      <c r="J26" s="2"/>
      <c r="K26" s="2"/>
      <c r="L26" s="2"/>
      <c r="M26" s="20"/>
      <c r="N26" s="2"/>
      <c r="O26" s="22"/>
    </row>
    <row r="27" spans="1:15" x14ac:dyDescent="0.15">
      <c r="A27" s="9" t="s">
        <v>60</v>
      </c>
      <c r="B27" s="14">
        <f>'1'!E133+'1'!E134</f>
        <v>0</v>
      </c>
      <c r="C27" s="2"/>
      <c r="D27" s="2"/>
      <c r="E27" s="2"/>
      <c r="F27" s="15"/>
      <c r="G27" s="2"/>
      <c r="H27" s="2"/>
      <c r="I27" s="2"/>
      <c r="J27" s="2"/>
      <c r="K27" s="2"/>
      <c r="L27" s="2"/>
      <c r="M27" s="2"/>
      <c r="N27" s="2"/>
      <c r="O27" s="2"/>
    </row>
    <row r="28" spans="1:15" x14ac:dyDescent="0.15">
      <c r="A28" s="8" t="s">
        <v>51</v>
      </c>
      <c r="B28" s="2">
        <f>LOOKUP($A$1,$B$96:$O$96,B97:O97)</f>
        <v>12169</v>
      </c>
      <c r="C28" s="2">
        <f>LOOKUP($A$1,$B$96:$O$96,B102:O102)</f>
        <v>8.0530000000000004E-2</v>
      </c>
      <c r="D28" s="14">
        <f>IF(B27&gt;$B28,$B28*$C28,B27*$C28)</f>
        <v>0</v>
      </c>
      <c r="E28" s="2"/>
      <c r="F28" s="15"/>
      <c r="G28" s="2"/>
      <c r="H28" s="2"/>
      <c r="I28" s="14"/>
      <c r="J28" s="2"/>
      <c r="K28" s="2"/>
      <c r="L28" s="2"/>
      <c r="M28" s="2"/>
      <c r="N28" s="2"/>
      <c r="O28" s="2"/>
    </row>
    <row r="29" spans="1:15" x14ac:dyDescent="0.15">
      <c r="A29" s="8" t="s">
        <v>52</v>
      </c>
      <c r="B29" s="2">
        <f>LOOKUP($A$1,$B$96:$O$96,B98:O98)</f>
        <v>26288</v>
      </c>
      <c r="C29" s="2">
        <f>LOOKUP($A$1,$B$96:$O$96,B103:O103)</f>
        <v>0.30030000000000001</v>
      </c>
      <c r="D29" s="14">
        <f>MAX(IF(B27&gt;$B29,($B29-$B28)*$C29,(B27-$B28)*$C29),0)</f>
        <v>0</v>
      </c>
      <c r="E29" s="10"/>
      <c r="F29" s="15"/>
      <c r="G29" s="2"/>
      <c r="H29" s="2"/>
      <c r="I29" s="14"/>
      <c r="J29" s="2"/>
      <c r="K29" s="10"/>
      <c r="L29" s="10"/>
      <c r="M29" s="10"/>
      <c r="N29" s="10"/>
      <c r="O29" s="10"/>
    </row>
    <row r="30" spans="1:15" x14ac:dyDescent="0.15">
      <c r="A30" s="8" t="s">
        <v>53</v>
      </c>
      <c r="B30" s="2">
        <f>LOOKUP($A$1,$B$96:$O$96,B99:O99)</f>
        <v>43071</v>
      </c>
      <c r="C30" s="2">
        <f>LOOKUP($A$1,$B$96:$O$96,B104:O104)</f>
        <v>2.2579999999999999E-2</v>
      </c>
      <c r="D30" s="14">
        <f>MAX(IF(B27&gt;$B30,($B30-$B29)*$C30,(B27-$B29)*$C30),0)</f>
        <v>0</v>
      </c>
      <c r="E30" s="2"/>
      <c r="F30" s="15"/>
      <c r="G30" s="2"/>
      <c r="H30" s="2"/>
      <c r="I30" s="14"/>
      <c r="J30" s="2"/>
      <c r="K30" s="2"/>
      <c r="L30" s="2"/>
      <c r="M30" s="20"/>
      <c r="N30" s="2"/>
      <c r="O30" s="22"/>
    </row>
    <row r="31" spans="1:15" x14ac:dyDescent="0.15">
      <c r="A31" s="8" t="s">
        <v>54</v>
      </c>
      <c r="B31" s="2">
        <f>LOOKUP($A$1,$B$96:$O$96,B100:O100)</f>
        <v>129078</v>
      </c>
      <c r="C31" s="2">
        <f>-1*(LOOKUP($A$1,$B$96:$O$96,B105:O105))</f>
        <v>-6.5100000000000005E-2</v>
      </c>
      <c r="D31" s="14">
        <f>IF(B27&lt;B30,0,IF(B27&gt;$B31,($B31-$B30)*$C31,(B27-$B30)*$C31))</f>
        <v>0</v>
      </c>
      <c r="E31" s="2"/>
      <c r="F31" s="15"/>
      <c r="G31" s="2"/>
      <c r="H31" s="2"/>
      <c r="I31" s="14"/>
      <c r="J31" s="2"/>
      <c r="K31" s="2"/>
      <c r="L31" s="2"/>
      <c r="M31" s="20"/>
      <c r="N31" s="2"/>
      <c r="O31" s="22"/>
    </row>
    <row r="32" spans="1:15" ht="15" x14ac:dyDescent="0.15">
      <c r="A32" s="8" t="s">
        <v>61</v>
      </c>
      <c r="B32" s="2">
        <f>LOOKUP($A$1,$B$96:$O$96,B107:O107)</f>
        <v>5599</v>
      </c>
      <c r="C32" s="2">
        <f>LOOKUP($A$1,$B$96:$O$96,B108:O108)</f>
        <v>0</v>
      </c>
      <c r="D32" s="17">
        <f>MAX(SUM(D28:D31),C32)</f>
        <v>0</v>
      </c>
      <c r="E32" s="2"/>
      <c r="F32" s="15"/>
      <c r="G32" s="2"/>
      <c r="H32" s="2"/>
      <c r="I32" s="18"/>
      <c r="J32" s="2"/>
      <c r="K32" s="2"/>
      <c r="L32" s="2"/>
      <c r="M32" s="20"/>
      <c r="N32" s="2"/>
      <c r="O32" s="22"/>
    </row>
    <row r="33" spans="1:15" x14ac:dyDescent="0.15">
      <c r="A33" s="8"/>
      <c r="B33" s="2"/>
      <c r="C33" s="2"/>
      <c r="D33" s="14"/>
      <c r="E33" s="2"/>
      <c r="F33" s="21"/>
      <c r="G33" s="14"/>
      <c r="H33" s="14"/>
      <c r="I33" s="2"/>
      <c r="J33" s="2"/>
      <c r="K33" s="2"/>
      <c r="L33" s="2"/>
      <c r="M33" s="20"/>
      <c r="N33" s="2"/>
      <c r="O33" s="22"/>
    </row>
    <row r="34" spans="1:15" x14ac:dyDescent="0.15">
      <c r="A34" s="8" t="s">
        <v>118</v>
      </c>
      <c r="B34" s="205">
        <f>'1'!E9+'1'!E137</f>
        <v>0</v>
      </c>
      <c r="C34" s="2"/>
      <c r="D34" s="14"/>
      <c r="E34" s="2"/>
      <c r="F34" s="8"/>
      <c r="G34" s="2"/>
      <c r="H34" s="2"/>
      <c r="I34" s="14"/>
      <c r="J34" s="2"/>
      <c r="K34" s="2"/>
      <c r="L34" s="2"/>
      <c r="M34" s="20"/>
      <c r="N34" s="2"/>
      <c r="O34" s="22"/>
    </row>
    <row r="35" spans="1:15" ht="15" x14ac:dyDescent="0.15">
      <c r="A35" s="9" t="s">
        <v>119</v>
      </c>
      <c r="B35" s="13">
        <f>LOOKUP(A1,B73:O73,B110:O110)</f>
        <v>0.1202</v>
      </c>
      <c r="C35" s="2">
        <f>IF(MAX(A3+B34-B10,0)&gt;B34,B34,MAX((A3+B34-B10),0))</f>
        <v>0</v>
      </c>
      <c r="D35" s="23">
        <f>ROUNDDOWN(B35*C35,0)</f>
        <v>0</v>
      </c>
      <c r="E35" s="2"/>
      <c r="F35" s="8"/>
      <c r="G35" s="13"/>
      <c r="H35" s="2"/>
      <c r="I35" s="24"/>
      <c r="J35" s="2"/>
      <c r="K35" s="2"/>
      <c r="L35" s="2"/>
      <c r="M35" s="20"/>
      <c r="N35" s="2"/>
      <c r="O35" s="22"/>
    </row>
    <row r="36" spans="1:15" x14ac:dyDescent="0.15">
      <c r="A36" s="8"/>
      <c r="B36" s="2"/>
      <c r="C36" s="2"/>
      <c r="D36" s="20"/>
      <c r="E36" s="2"/>
      <c r="F36" s="22"/>
      <c r="G36" s="14"/>
      <c r="H36" s="14"/>
      <c r="I36" s="2"/>
      <c r="J36" s="2"/>
      <c r="K36" s="2"/>
      <c r="L36" s="2"/>
      <c r="M36" s="20"/>
      <c r="N36" s="2"/>
      <c r="O36" s="22"/>
    </row>
    <row r="37" spans="1:15" ht="15" x14ac:dyDescent="0.15">
      <c r="A37" s="9" t="s">
        <v>63</v>
      </c>
      <c r="B37" s="206" t="b">
        <v>0</v>
      </c>
      <c r="C37" s="2">
        <f>IF(B37,LOOKUP(A1,B129:O129,B130:O130),0)</f>
        <v>0</v>
      </c>
      <c r="D37" s="25">
        <f>MIN(C37,A2)</f>
        <v>0</v>
      </c>
      <c r="E37" s="2"/>
      <c r="F37" s="22"/>
      <c r="G37" s="14"/>
      <c r="H37" s="14"/>
      <c r="I37" s="2"/>
      <c r="J37" s="2"/>
      <c r="K37" s="2"/>
      <c r="L37" s="2"/>
      <c r="M37" s="20"/>
      <c r="N37" s="2"/>
      <c r="O37" s="22"/>
    </row>
    <row r="38" spans="1:15" ht="15" x14ac:dyDescent="0.15">
      <c r="A38" s="9" t="s">
        <v>64</v>
      </c>
      <c r="B38" s="206"/>
      <c r="C38" s="2"/>
      <c r="D38" s="25">
        <f>IF(B37*B38,LOOKUP(A1,B129:O129,B131:O131),0)</f>
        <v>0</v>
      </c>
      <c r="E38" s="2"/>
      <c r="F38" s="22"/>
      <c r="G38" s="14"/>
      <c r="H38" s="14"/>
      <c r="I38" s="2"/>
      <c r="J38" s="2"/>
      <c r="K38" s="2"/>
      <c r="L38" s="2"/>
      <c r="M38" s="20"/>
      <c r="N38" s="2"/>
      <c r="O38" s="22"/>
    </row>
    <row r="39" spans="1:15" ht="15" x14ac:dyDescent="0.15">
      <c r="A39" s="9"/>
      <c r="B39" s="26"/>
      <c r="C39" s="2"/>
      <c r="D39" s="27"/>
      <c r="E39" s="2"/>
      <c r="F39" s="22"/>
      <c r="G39" s="14"/>
      <c r="H39" s="14"/>
      <c r="I39" s="2"/>
      <c r="J39" s="2"/>
      <c r="K39" s="2"/>
      <c r="L39" s="2"/>
      <c r="M39" s="20"/>
      <c r="N39" s="2"/>
      <c r="O39" s="22"/>
    </row>
    <row r="40" spans="1:15" ht="15" x14ac:dyDescent="0.15">
      <c r="A40" s="9" t="s">
        <v>65</v>
      </c>
      <c r="B40" s="207"/>
      <c r="C40" s="2">
        <f>LOOKUP(A1,B134:O134,B135:O135)</f>
        <v>0.127</v>
      </c>
      <c r="D40" s="29">
        <f>ROUNDUP(C40*B40,0)</f>
        <v>0</v>
      </c>
      <c r="E40" s="2"/>
      <c r="F40" s="22"/>
      <c r="G40" s="14"/>
      <c r="H40" s="14"/>
      <c r="I40" s="2"/>
      <c r="J40" s="2"/>
      <c r="K40" s="2"/>
      <c r="L40" s="2"/>
      <c r="M40" s="20"/>
      <c r="N40" s="2"/>
      <c r="O40" s="22"/>
    </row>
    <row r="41" spans="1:15" ht="15" x14ac:dyDescent="0.15">
      <c r="A41" s="8"/>
      <c r="B41" s="26"/>
      <c r="C41" s="2"/>
      <c r="D41" s="27"/>
      <c r="E41" s="2"/>
      <c r="F41" s="22"/>
      <c r="G41" s="14"/>
      <c r="H41" s="14"/>
      <c r="I41" s="2"/>
      <c r="J41" s="2"/>
      <c r="K41" s="2"/>
      <c r="L41" s="2"/>
      <c r="M41" s="20"/>
      <c r="N41" s="2"/>
      <c r="O41" s="22"/>
    </row>
    <row r="42" spans="1:15" x14ac:dyDescent="0.15">
      <c r="A42" s="9" t="s">
        <v>66</v>
      </c>
      <c r="B42" s="2">
        <f>LOOKUP(A1,B113:O113,B114:O114)</f>
        <v>6145</v>
      </c>
      <c r="C42" s="2">
        <f>LOOKUP(A1,B113:O113,B116:O116)</f>
        <v>0.1145</v>
      </c>
      <c r="D42" s="28">
        <f>ROUNDUP(IF(A3&gt;B42,(C42*(A3-B42))+B43,B43),0)</f>
        <v>0</v>
      </c>
      <c r="E42" s="2"/>
      <c r="F42" s="22"/>
      <c r="G42" s="14"/>
      <c r="H42" s="14"/>
      <c r="I42" s="2"/>
      <c r="J42" s="2"/>
      <c r="K42" s="2"/>
      <c r="L42" s="2"/>
      <c r="M42" s="20"/>
      <c r="N42" s="2"/>
      <c r="O42" s="22"/>
    </row>
    <row r="43" spans="1:15" x14ac:dyDescent="0.15">
      <c r="A43" s="8" t="s">
        <v>67</v>
      </c>
      <c r="B43" s="2">
        <f>LOOKUP($A$1,$B$113:$O$113,B117:O117)</f>
        <v>0</v>
      </c>
      <c r="C43" s="2"/>
      <c r="D43" s="28"/>
      <c r="E43" s="2"/>
      <c r="F43" s="22"/>
      <c r="G43" s="14"/>
      <c r="H43" s="14"/>
      <c r="I43" s="2"/>
      <c r="J43" s="2"/>
      <c r="K43" s="2"/>
      <c r="L43" s="2"/>
      <c r="M43" s="20"/>
      <c r="N43" s="2"/>
      <c r="O43" s="22"/>
    </row>
    <row r="44" spans="1:15" ht="15" x14ac:dyDescent="0.15">
      <c r="A44" s="8" t="s">
        <v>68</v>
      </c>
      <c r="B44" s="2">
        <f>LOOKUP($A$1,$B$113:$O$113,B118:O118)</f>
        <v>2986</v>
      </c>
      <c r="C44" s="2"/>
      <c r="D44" s="23">
        <f>MIN(D42,B44)</f>
        <v>0</v>
      </c>
      <c r="E44" s="2"/>
      <c r="F44" s="22"/>
      <c r="G44" s="14"/>
      <c r="H44" s="14"/>
      <c r="I44" s="2"/>
      <c r="J44" s="2"/>
      <c r="K44" s="2"/>
      <c r="L44" s="2"/>
      <c r="M44" s="20"/>
      <c r="N44" s="2"/>
      <c r="O44" s="22"/>
    </row>
    <row r="45" spans="1:15" x14ac:dyDescent="0.15">
      <c r="A45" s="8"/>
      <c r="B45" s="2"/>
      <c r="C45" s="2"/>
      <c r="D45" s="20"/>
      <c r="E45" s="2"/>
      <c r="F45" s="22"/>
      <c r="G45" s="14"/>
      <c r="H45" s="14"/>
      <c r="I45" s="2"/>
      <c r="J45" s="2"/>
      <c r="K45" s="2"/>
      <c r="L45" s="2"/>
      <c r="M45" s="20"/>
      <c r="N45" s="2"/>
      <c r="O45" s="22"/>
    </row>
    <row r="46" spans="1:15" ht="15" x14ac:dyDescent="0.15">
      <c r="A46" s="9" t="s">
        <v>69</v>
      </c>
      <c r="B46" s="2">
        <f>LOOKUP(A1,B120:O120,B123:O123)</f>
        <v>75864</v>
      </c>
      <c r="C46" s="2">
        <f>LOOKUP(A1,B120:O120,B122:O122)</f>
        <v>5.2600000000000001E-2</v>
      </c>
      <c r="D46" s="23">
        <f>IF($A$3&gt;B46,B46*C46,A3*C46)</f>
        <v>0</v>
      </c>
      <c r="E46" s="2"/>
      <c r="F46" s="22"/>
      <c r="G46" s="14"/>
      <c r="H46" s="14"/>
      <c r="I46" s="2"/>
      <c r="J46" s="2"/>
      <c r="K46" s="2"/>
      <c r="L46" s="2"/>
      <c r="M46" s="20"/>
      <c r="N46" s="2"/>
      <c r="O46" s="22"/>
    </row>
    <row r="47" spans="1:15" ht="15" x14ac:dyDescent="0.15">
      <c r="A47" s="9" t="s">
        <v>70</v>
      </c>
      <c r="B47" s="2">
        <f>LOOKUP(A1,B120:O120,B123:O123)</f>
        <v>75864</v>
      </c>
      <c r="C47" s="2">
        <f>LOOKUP(A1,B120:O120,B121:O121)</f>
        <v>6.5100000000000005E-2</v>
      </c>
      <c r="D47" s="23">
        <f>IF($A$3&gt;B47,B47*C47,A3*C47)</f>
        <v>0</v>
      </c>
      <c r="E47" s="2"/>
      <c r="F47" s="22"/>
      <c r="G47" s="14"/>
      <c r="H47" s="14"/>
      <c r="I47" s="2"/>
      <c r="J47" s="2"/>
      <c r="K47" s="2"/>
      <c r="L47" s="2"/>
      <c r="M47" s="20"/>
      <c r="N47" s="2"/>
      <c r="O47" s="22"/>
    </row>
    <row r="48" spans="1:15" x14ac:dyDescent="0.15">
      <c r="A48" s="8"/>
      <c r="B48" s="2"/>
      <c r="C48" s="2"/>
      <c r="D48" s="20"/>
      <c r="E48" s="2"/>
      <c r="F48" s="22"/>
      <c r="G48" s="14"/>
      <c r="H48" s="14"/>
      <c r="I48" s="2"/>
      <c r="J48" s="2"/>
      <c r="K48" s="2"/>
      <c r="L48" s="2"/>
      <c r="M48" s="20"/>
      <c r="N48" s="2"/>
      <c r="O48" s="22"/>
    </row>
    <row r="49" spans="1:15" x14ac:dyDescent="0.15">
      <c r="A49" s="9" t="s">
        <v>71</v>
      </c>
      <c r="B49" s="2">
        <f>LOOKUP(A1,B125:O125,B127:O127)</f>
        <v>0</v>
      </c>
      <c r="C49" s="2">
        <f>LOOKUP(A1,B125:O125,B126:O126)</f>
        <v>0</v>
      </c>
      <c r="D49" s="42">
        <f>MIN(A2*C49,B49)</f>
        <v>0</v>
      </c>
      <c r="E49" s="2"/>
      <c r="F49" s="22"/>
      <c r="G49" s="14"/>
      <c r="H49" s="14"/>
      <c r="I49" s="2"/>
      <c r="J49" s="2"/>
      <c r="K49" s="2"/>
      <c r="L49" s="2"/>
      <c r="M49" s="20"/>
      <c r="N49" s="2"/>
      <c r="O49" s="22"/>
    </row>
    <row r="50" spans="1:15" ht="15" x14ac:dyDescent="0.15">
      <c r="A50" s="8" t="b">
        <v>0</v>
      </c>
      <c r="B50" s="2">
        <f>B37*A50</f>
        <v>0</v>
      </c>
      <c r="C50" s="2"/>
      <c r="D50" s="23">
        <f>IF(B50=1,D49,0)</f>
        <v>0</v>
      </c>
      <c r="E50" s="2"/>
      <c r="F50" s="22"/>
      <c r="G50" s="14"/>
      <c r="H50" s="14"/>
      <c r="I50" s="2"/>
      <c r="J50" s="2"/>
      <c r="K50" s="2"/>
      <c r="L50" s="2"/>
      <c r="M50" s="20"/>
      <c r="N50" s="2"/>
      <c r="O50" s="22"/>
    </row>
    <row r="51" spans="1:15" x14ac:dyDescent="0.15">
      <c r="A51" s="8"/>
      <c r="B51" s="2"/>
      <c r="C51" s="2"/>
      <c r="D51" s="20"/>
      <c r="E51" s="2"/>
      <c r="F51" s="22"/>
      <c r="G51" s="14"/>
      <c r="H51" s="14"/>
      <c r="I51" s="2"/>
      <c r="J51" s="2"/>
      <c r="K51" s="2"/>
      <c r="L51" s="2"/>
      <c r="M51" s="20"/>
      <c r="N51" s="2"/>
      <c r="O51" s="22"/>
    </row>
    <row r="52" spans="1:15" ht="15" x14ac:dyDescent="0.15">
      <c r="A52" s="9" t="s">
        <v>6</v>
      </c>
      <c r="B52" s="204">
        <f>'1'!E8</f>
        <v>0</v>
      </c>
      <c r="C52" s="2"/>
      <c r="D52" s="17">
        <f>SUM(D53:D57)</f>
        <v>0</v>
      </c>
      <c r="E52" s="2"/>
      <c r="F52" s="22"/>
      <c r="G52" s="14"/>
      <c r="H52" s="14"/>
      <c r="I52" s="2"/>
      <c r="J52" s="2"/>
      <c r="K52" s="2"/>
      <c r="L52" s="2"/>
      <c r="M52" s="20"/>
      <c r="N52" s="2"/>
      <c r="O52" s="22"/>
    </row>
    <row r="53" spans="1:15" x14ac:dyDescent="0.15">
      <c r="A53" s="8" t="s">
        <v>51</v>
      </c>
      <c r="B53" s="2">
        <f>A139</f>
        <v>12500</v>
      </c>
      <c r="C53" s="13">
        <f>LOOKUP($A$1,$B$137:$O$137,B139:O139)</f>
        <v>1E-3</v>
      </c>
      <c r="D53" s="2">
        <f>IF($B$52&lt;B53,0,IF($B$52&lt;B54,$B$52*C53,0))</f>
        <v>0</v>
      </c>
      <c r="E53" s="2"/>
      <c r="F53" s="22"/>
      <c r="G53" s="14"/>
      <c r="H53" s="14"/>
      <c r="I53" s="2"/>
      <c r="J53" s="2"/>
      <c r="K53" s="2"/>
      <c r="L53" s="2"/>
      <c r="M53" s="20"/>
      <c r="N53" s="2"/>
      <c r="O53" s="22"/>
    </row>
    <row r="54" spans="1:15" x14ac:dyDescent="0.15">
      <c r="A54" s="8" t="s">
        <v>52</v>
      </c>
      <c r="B54" s="2">
        <f>A140</f>
        <v>25000</v>
      </c>
      <c r="C54" s="13">
        <f>LOOKUP($A$1,$B$137:$O$137,B140:O140)</f>
        <v>2E-3</v>
      </c>
      <c r="D54" s="2">
        <f>IF($B$52&lt;B54,0,IF($B$52&lt;B55,$B$52*C54,0))</f>
        <v>0</v>
      </c>
      <c r="E54" s="2"/>
      <c r="F54" s="22"/>
      <c r="G54" s="14"/>
      <c r="H54" s="14"/>
      <c r="I54" s="2"/>
      <c r="J54" s="2"/>
      <c r="K54" s="2"/>
      <c r="L54" s="2"/>
      <c r="M54" s="20"/>
      <c r="N54" s="2"/>
      <c r="O54" s="22"/>
    </row>
    <row r="55" spans="1:15" x14ac:dyDescent="0.15">
      <c r="A55" s="8" t="s">
        <v>53</v>
      </c>
      <c r="B55" s="2">
        <f>A141</f>
        <v>50000</v>
      </c>
      <c r="C55" s="13">
        <f>LOOKUP($A$1,$B$137:$O$137,B141:O141)</f>
        <v>2.5000000000000001E-3</v>
      </c>
      <c r="D55" s="2">
        <f>IF($B$52&lt;B55,0,IF($B$52&lt;B56,$B$52*C55,0))</f>
        <v>0</v>
      </c>
      <c r="E55" s="2"/>
      <c r="F55" s="22"/>
      <c r="G55" s="14"/>
      <c r="H55" s="14"/>
      <c r="I55" s="2"/>
      <c r="J55" s="2"/>
      <c r="K55" s="2"/>
      <c r="L55" s="2"/>
      <c r="M55" s="20"/>
      <c r="N55" s="2"/>
      <c r="O55" s="22"/>
    </row>
    <row r="56" spans="1:15" x14ac:dyDescent="0.15">
      <c r="A56" s="8" t="s">
        <v>54</v>
      </c>
      <c r="B56" s="2">
        <f>A142</f>
        <v>75000</v>
      </c>
      <c r="C56" s="13">
        <f>LOOKUP($A$1,$B$137:$O$137,B142:O142)</f>
        <v>3.5000000000000001E-3</v>
      </c>
      <c r="D56" s="2">
        <f>IF($B$52&lt;B56,0,IF($B$52&lt;B57,$B$52*C56,0))</f>
        <v>0</v>
      </c>
      <c r="E56" s="2"/>
      <c r="F56" s="22"/>
      <c r="G56" s="14"/>
      <c r="H56" s="14"/>
      <c r="I56" s="2"/>
      <c r="J56" s="2"/>
      <c r="K56" s="2"/>
      <c r="L56" s="2"/>
      <c r="M56" s="20"/>
      <c r="N56" s="2"/>
      <c r="O56" s="22"/>
    </row>
    <row r="57" spans="1:15" x14ac:dyDescent="0.15">
      <c r="A57" s="8" t="s">
        <v>72</v>
      </c>
      <c r="B57" s="2">
        <f>A143</f>
        <v>1330000</v>
      </c>
      <c r="C57" s="13">
        <f>LOOKUP($A$1,$B$137:$O$137,B143:O143)</f>
        <v>2.35E-2</v>
      </c>
      <c r="D57" s="2">
        <f>IF($B$52&gt;B57,(C56*B57)+(C57*(B52-B57)),0)</f>
        <v>0</v>
      </c>
      <c r="E57" s="2"/>
      <c r="F57" s="22"/>
      <c r="G57" s="14"/>
      <c r="H57" s="14"/>
      <c r="I57" s="2"/>
      <c r="J57" s="2"/>
      <c r="K57" s="2"/>
      <c r="L57" s="2"/>
      <c r="M57" s="20"/>
      <c r="N57" s="2"/>
      <c r="O57" s="22"/>
    </row>
    <row r="58" spans="1:15" x14ac:dyDescent="0.15">
      <c r="A58" s="8"/>
      <c r="B58" s="2"/>
      <c r="C58" s="2"/>
      <c r="D58" s="20"/>
      <c r="E58" s="2"/>
      <c r="F58" s="22"/>
      <c r="G58" s="14"/>
      <c r="H58" s="14"/>
      <c r="I58" s="2"/>
      <c r="J58" s="2"/>
      <c r="K58" s="2"/>
      <c r="L58" s="2"/>
      <c r="M58" s="20"/>
      <c r="N58" s="2"/>
      <c r="O58" s="22"/>
    </row>
    <row r="59" spans="1:15" ht="15" x14ac:dyDescent="0.15">
      <c r="A59" s="9" t="s">
        <v>19</v>
      </c>
      <c r="B59" s="204"/>
      <c r="C59" s="2"/>
      <c r="D59" s="29">
        <f>SUM(D60:D63)</f>
        <v>0</v>
      </c>
      <c r="E59" s="2"/>
      <c r="F59" s="22"/>
      <c r="G59" s="14"/>
      <c r="H59" s="14"/>
      <c r="I59" s="2"/>
      <c r="J59" s="2"/>
      <c r="K59" s="2"/>
      <c r="L59" s="2"/>
      <c r="M59" s="20"/>
      <c r="N59" s="2"/>
      <c r="O59" s="22"/>
    </row>
    <row r="60" spans="1:15" x14ac:dyDescent="0.15">
      <c r="A60" s="8" t="s">
        <v>51</v>
      </c>
      <c r="B60" s="2">
        <v>525</v>
      </c>
      <c r="C60" s="20">
        <v>1.2500000000000001E-2</v>
      </c>
      <c r="D60" s="2">
        <f>IF($B$59&lt;B60,0,IF($B$59&lt;B61,$A$2*C60,0))</f>
        <v>0</v>
      </c>
      <c r="E60" s="2"/>
      <c r="F60" s="22"/>
      <c r="G60" s="14"/>
      <c r="H60" s="14"/>
      <c r="I60" s="2"/>
      <c r="J60" s="2"/>
      <c r="K60" s="2"/>
      <c r="L60" s="2"/>
      <c r="M60" s="20"/>
      <c r="N60" s="2"/>
      <c r="O60" s="22"/>
    </row>
    <row r="61" spans="1:15" x14ac:dyDescent="0.15">
      <c r="A61" s="8" t="s">
        <v>52</v>
      </c>
      <c r="B61" s="2">
        <v>875</v>
      </c>
      <c r="C61" s="19">
        <v>0.02</v>
      </c>
      <c r="D61" s="2">
        <f>IF($B$59&lt;B61,0,IF($B$59&lt;B62,$A$2*C61,0))</f>
        <v>0</v>
      </c>
      <c r="E61" s="2"/>
      <c r="F61" s="22"/>
      <c r="G61" s="14"/>
      <c r="H61" s="14"/>
      <c r="I61" s="2"/>
      <c r="J61" s="2"/>
      <c r="K61" s="2"/>
      <c r="L61" s="2"/>
      <c r="M61" s="20"/>
      <c r="N61" s="2"/>
      <c r="O61" s="22"/>
    </row>
    <row r="62" spans="1:15" x14ac:dyDescent="0.15">
      <c r="A62" s="8" t="s">
        <v>53</v>
      </c>
      <c r="B62" s="2">
        <v>1225</v>
      </c>
      <c r="C62" s="19">
        <v>0.03</v>
      </c>
      <c r="D62" s="2">
        <f>IF($B$59&lt;B62,0,IF($B$59&lt;B63,$A$2*C62,0))</f>
        <v>0</v>
      </c>
      <c r="E62" s="2"/>
      <c r="F62" s="22"/>
      <c r="G62" s="14"/>
      <c r="H62" s="14"/>
      <c r="I62" s="2"/>
      <c r="J62" s="2"/>
      <c r="K62" s="2"/>
      <c r="L62" s="2"/>
      <c r="M62" s="20"/>
      <c r="N62" s="2"/>
      <c r="O62" s="22"/>
    </row>
    <row r="63" spans="1:15" x14ac:dyDescent="0.15">
      <c r="A63" s="8" t="s">
        <v>54</v>
      </c>
      <c r="B63" s="2">
        <v>1750</v>
      </c>
      <c r="C63" s="19">
        <v>0.04</v>
      </c>
      <c r="D63" s="2">
        <f>IF($B$59&lt;B63,0,$A$2*C63)</f>
        <v>0</v>
      </c>
      <c r="E63" s="2"/>
      <c r="F63" s="22"/>
      <c r="G63" s="14"/>
      <c r="H63" s="14"/>
      <c r="I63" s="2"/>
      <c r="J63" s="2"/>
      <c r="K63" s="2"/>
      <c r="L63" s="2"/>
      <c r="M63" s="20"/>
      <c r="N63" s="2"/>
      <c r="O63" s="22"/>
    </row>
    <row r="64" spans="1:15" x14ac:dyDescent="0.15">
      <c r="A64" s="8"/>
      <c r="B64" s="2"/>
      <c r="C64" s="2"/>
      <c r="D64" s="20"/>
      <c r="E64" s="2"/>
      <c r="F64" s="22"/>
      <c r="G64" s="14"/>
      <c r="H64" s="14"/>
      <c r="I64" s="2"/>
      <c r="J64" s="2"/>
      <c r="K64" s="2"/>
      <c r="L64" s="2"/>
      <c r="M64" s="20"/>
      <c r="N64" s="2"/>
      <c r="O64" s="22"/>
    </row>
    <row r="65" spans="1:15" ht="15" x14ac:dyDescent="0.15">
      <c r="A65" s="9"/>
      <c r="B65" s="2"/>
      <c r="C65" s="2"/>
      <c r="D65" s="40"/>
      <c r="E65" s="2"/>
      <c r="F65" s="22"/>
      <c r="G65" s="14"/>
      <c r="H65" s="14"/>
      <c r="I65" s="2"/>
      <c r="J65" s="2"/>
      <c r="K65" s="2"/>
      <c r="L65" s="2"/>
      <c r="M65" s="20"/>
      <c r="N65" s="2"/>
      <c r="O65" s="22"/>
    </row>
    <row r="66" spans="1:15" x14ac:dyDescent="0.15">
      <c r="A66" s="8"/>
      <c r="B66" s="20"/>
      <c r="C66" s="2"/>
      <c r="D66" s="20"/>
      <c r="E66" s="2"/>
      <c r="F66" s="22"/>
      <c r="G66" s="14"/>
      <c r="H66" s="14"/>
      <c r="I66" s="2"/>
      <c r="J66" s="2"/>
      <c r="K66" s="2"/>
      <c r="L66" s="2"/>
      <c r="M66" s="20"/>
      <c r="N66" s="2"/>
      <c r="O66" s="22"/>
    </row>
    <row r="67" spans="1:15" x14ac:dyDescent="0.15">
      <c r="A67" s="8"/>
      <c r="B67" s="2"/>
      <c r="C67" s="2"/>
      <c r="D67" s="20"/>
      <c r="E67" s="2"/>
      <c r="F67" s="22"/>
      <c r="G67" s="14"/>
      <c r="H67" s="14"/>
      <c r="I67" s="2"/>
      <c r="J67" s="2"/>
      <c r="K67" s="2"/>
      <c r="L67" s="2"/>
      <c r="M67" s="20"/>
      <c r="N67" s="2"/>
      <c r="O67" s="22"/>
    </row>
    <row r="68" spans="1:15" x14ac:dyDescent="0.15">
      <c r="A68" s="8"/>
      <c r="B68" s="45"/>
      <c r="C68" s="2"/>
      <c r="D68" s="20"/>
      <c r="E68" s="2"/>
      <c r="F68" s="22"/>
      <c r="G68" s="14"/>
      <c r="H68" s="14"/>
      <c r="I68" s="2"/>
      <c r="J68" s="2"/>
      <c r="K68" s="2"/>
      <c r="L68" s="2"/>
      <c r="M68" s="20"/>
      <c r="N68" s="2"/>
      <c r="O68" s="22"/>
    </row>
    <row r="69" spans="1:15" x14ac:dyDescent="0.15">
      <c r="A69" s="8"/>
      <c r="B69" s="2"/>
      <c r="C69" s="2"/>
      <c r="D69" s="20"/>
      <c r="E69" s="2"/>
      <c r="F69" s="22"/>
      <c r="G69" s="14"/>
      <c r="H69" s="14"/>
      <c r="I69" s="2"/>
      <c r="J69" s="2"/>
      <c r="K69" s="2"/>
      <c r="L69" s="2"/>
      <c r="M69" s="20"/>
      <c r="N69" s="2"/>
      <c r="O69" s="22"/>
    </row>
    <row r="70" spans="1:15" ht="15" x14ac:dyDescent="0.15">
      <c r="A70" s="31" t="s">
        <v>77</v>
      </c>
      <c r="B70" s="2"/>
      <c r="C70" s="2"/>
      <c r="D70" s="2"/>
      <c r="E70" s="2"/>
      <c r="F70" s="2"/>
      <c r="G70" s="32"/>
      <c r="H70" s="32"/>
      <c r="I70" s="2"/>
      <c r="J70" s="2"/>
      <c r="K70" s="2"/>
      <c r="L70" s="2"/>
      <c r="M70" s="2"/>
      <c r="N70" s="2"/>
      <c r="O70" s="2"/>
    </row>
    <row r="71" spans="1:15" x14ac:dyDescent="0.15">
      <c r="A71" s="8"/>
      <c r="B71" s="2"/>
      <c r="C71" s="2"/>
      <c r="D71" s="2"/>
      <c r="E71" s="2"/>
      <c r="F71" s="2"/>
      <c r="G71" s="2"/>
      <c r="H71" s="2"/>
      <c r="I71" s="2"/>
      <c r="J71" s="2"/>
      <c r="K71" s="2"/>
      <c r="L71" s="2"/>
      <c r="M71" s="2"/>
      <c r="N71" s="2"/>
      <c r="O71" s="2"/>
    </row>
    <row r="72" spans="1:15" x14ac:dyDescent="0.15">
      <c r="A72" s="9" t="s">
        <v>26</v>
      </c>
      <c r="B72" s="10"/>
      <c r="C72" s="10"/>
      <c r="D72" s="10"/>
      <c r="E72" s="11"/>
      <c r="F72" s="11"/>
      <c r="G72" s="2"/>
      <c r="H72" s="10"/>
      <c r="I72" s="10"/>
      <c r="J72" s="10"/>
      <c r="K72" s="10"/>
      <c r="L72" s="10"/>
      <c r="M72" s="10"/>
      <c r="N72" s="11"/>
      <c r="O72" s="11"/>
    </row>
    <row r="73" spans="1:15" x14ac:dyDescent="0.15">
      <c r="A73" s="9"/>
      <c r="B73" s="33">
        <v>2012</v>
      </c>
      <c r="C73" s="33">
        <v>2013</v>
      </c>
      <c r="D73" s="33">
        <v>2014</v>
      </c>
      <c r="E73" s="33">
        <v>2015</v>
      </c>
      <c r="F73" s="33">
        <v>2016</v>
      </c>
      <c r="G73" s="33">
        <v>2017</v>
      </c>
      <c r="H73" s="33">
        <v>2018</v>
      </c>
      <c r="I73" s="33">
        <v>2019</v>
      </c>
      <c r="J73" s="33">
        <v>2020</v>
      </c>
      <c r="K73" s="33">
        <v>2021</v>
      </c>
      <c r="L73" s="33">
        <v>2022</v>
      </c>
      <c r="M73" s="171">
        <v>2023</v>
      </c>
      <c r="N73" s="33">
        <v>2024</v>
      </c>
      <c r="O73" s="33">
        <v>2025</v>
      </c>
    </row>
    <row r="74" spans="1:15" x14ac:dyDescent="0.15">
      <c r="A74" s="8" t="s">
        <v>78</v>
      </c>
      <c r="B74" s="50">
        <v>18945</v>
      </c>
      <c r="C74" s="50">
        <v>19645</v>
      </c>
      <c r="D74" s="50">
        <v>19645</v>
      </c>
      <c r="E74" s="50">
        <v>19822</v>
      </c>
      <c r="F74" s="50">
        <v>19922</v>
      </c>
      <c r="G74" s="50">
        <v>19982</v>
      </c>
      <c r="H74" s="50">
        <v>20142</v>
      </c>
      <c r="I74" s="50">
        <v>20384</v>
      </c>
      <c r="J74" s="50">
        <v>20711</v>
      </c>
      <c r="K74" s="50">
        <v>21043</v>
      </c>
      <c r="L74" s="50">
        <v>21317</v>
      </c>
      <c r="M74" s="172">
        <v>22660</v>
      </c>
      <c r="N74" s="50">
        <v>24821</v>
      </c>
      <c r="O74" s="50">
        <v>26288</v>
      </c>
    </row>
    <row r="75" spans="1:15" x14ac:dyDescent="0.15">
      <c r="A75" s="8"/>
      <c r="B75" s="50">
        <f>IF($A$4&lt;1946-1-1,34055,33863)</f>
        <v>33863</v>
      </c>
      <c r="C75" s="50">
        <f>IF($A$4&lt;1946-1-1,33555,33363)</f>
        <v>33363</v>
      </c>
      <c r="D75" s="50">
        <f>IF($A$4&lt;1946-1-1,33555,33363)</f>
        <v>33363</v>
      </c>
      <c r="E75" s="50">
        <f>IF($A$4&lt;1946-1-1,33857,33589)</f>
        <v>33589</v>
      </c>
      <c r="F75" s="50">
        <f>IF($A$4&lt;1946-1-1,34027,33715)</f>
        <v>33715</v>
      </c>
      <c r="G75" s="50">
        <f>IF($A$4&lt;1946-1-1,34130,33791)</f>
        <v>33791</v>
      </c>
      <c r="H75" s="50">
        <f>IF($A$4&lt;1946-1-1,34404,33994)</f>
        <v>33994</v>
      </c>
      <c r="I75" s="50">
        <f>IF($A$4&lt;1946-1-1,34817,34300)</f>
        <v>34300</v>
      </c>
      <c r="J75" s="50">
        <f>IF($A$4&lt;1946-1-1,35375,34712)</f>
        <v>34712</v>
      </c>
      <c r="K75" s="50">
        <f>IF($A$4&lt;1946-1-1,35941,35129)</f>
        <v>35129</v>
      </c>
      <c r="L75" s="50">
        <f>IF($A$4&lt;1946-1-1,36409,35472)</f>
        <v>35472</v>
      </c>
      <c r="M75" s="172">
        <f>IF($A$4&lt;1946-1-1,38703,37149)</f>
        <v>37149</v>
      </c>
      <c r="N75" s="50">
        <f>IF($A$4&lt;1946-1-1,40021,38098)</f>
        <v>38098</v>
      </c>
      <c r="O75" s="50">
        <v>38441</v>
      </c>
    </row>
    <row r="76" spans="1:15" x14ac:dyDescent="0.15">
      <c r="A76" s="8"/>
      <c r="B76" s="50">
        <v>56491</v>
      </c>
      <c r="C76" s="50">
        <v>55991</v>
      </c>
      <c r="D76" s="50">
        <v>56531</v>
      </c>
      <c r="E76" s="50">
        <v>57585</v>
      </c>
      <c r="F76" s="50">
        <v>66421</v>
      </c>
      <c r="G76" s="50">
        <v>67072</v>
      </c>
      <c r="H76" s="50">
        <v>68507</v>
      </c>
      <c r="I76" s="50">
        <v>68507</v>
      </c>
      <c r="J76" s="50">
        <v>68507</v>
      </c>
      <c r="K76" s="50">
        <v>68507</v>
      </c>
      <c r="L76" s="50">
        <v>69398</v>
      </c>
      <c r="M76" s="172">
        <v>73031</v>
      </c>
      <c r="N76" s="50">
        <v>75518</v>
      </c>
      <c r="O76" s="50">
        <v>76817</v>
      </c>
    </row>
    <row r="77" spans="1:15" x14ac:dyDescent="0.15">
      <c r="A77" s="8"/>
      <c r="B77" s="2"/>
      <c r="C77" s="2"/>
      <c r="D77" s="2"/>
      <c r="E77" s="2"/>
      <c r="F77" s="2"/>
      <c r="G77" s="2"/>
      <c r="H77" s="2"/>
      <c r="I77" s="2"/>
      <c r="J77" s="2"/>
      <c r="K77" s="2"/>
      <c r="L77" s="2"/>
      <c r="M77" s="26"/>
      <c r="N77" s="2"/>
      <c r="O77" s="2"/>
    </row>
    <row r="78" spans="1:15" x14ac:dyDescent="0.15">
      <c r="A78" s="8" t="s">
        <v>79</v>
      </c>
      <c r="B78" s="51">
        <v>17168</v>
      </c>
      <c r="C78" s="43">
        <v>17533</v>
      </c>
      <c r="D78" s="51">
        <v>17868</v>
      </c>
      <c r="E78" s="51">
        <v>18203</v>
      </c>
      <c r="F78" s="51">
        <v>18537</v>
      </c>
      <c r="G78" s="51">
        <v>18810</v>
      </c>
      <c r="H78" s="51">
        <v>19085</v>
      </c>
      <c r="I78" s="51">
        <v>19360</v>
      </c>
      <c r="J78" s="51">
        <v>19603</v>
      </c>
      <c r="K78" s="51">
        <v>19968</v>
      </c>
      <c r="L78" s="51">
        <v>20090</v>
      </c>
      <c r="M78" s="70">
        <v>20607</v>
      </c>
      <c r="N78" s="51">
        <v>20880</v>
      </c>
      <c r="O78" s="51">
        <v>21186</v>
      </c>
    </row>
    <row r="79" spans="1:15" x14ac:dyDescent="0.15">
      <c r="A79" s="8" t="s">
        <v>80</v>
      </c>
      <c r="B79" s="2" t="b">
        <f t="shared" ref="B79:O79" si="0">$A$4&lt;B78</f>
        <v>0</v>
      </c>
      <c r="C79" s="2" t="b">
        <f t="shared" si="0"/>
        <v>0</v>
      </c>
      <c r="D79" s="2" t="b">
        <f t="shared" si="0"/>
        <v>0</v>
      </c>
      <c r="E79" s="2" t="b">
        <f t="shared" si="0"/>
        <v>0</v>
      </c>
      <c r="F79" s="2" t="b">
        <f t="shared" si="0"/>
        <v>0</v>
      </c>
      <c r="G79" s="2" t="b">
        <f t="shared" si="0"/>
        <v>0</v>
      </c>
      <c r="H79" s="2" t="b">
        <f t="shared" si="0"/>
        <v>0</v>
      </c>
      <c r="I79" s="2" t="b">
        <f t="shared" si="0"/>
        <v>0</v>
      </c>
      <c r="J79" s="2" t="b">
        <f t="shared" si="0"/>
        <v>0</v>
      </c>
      <c r="K79" s="2" t="b">
        <f t="shared" si="0"/>
        <v>0</v>
      </c>
      <c r="L79" s="2" t="b">
        <f t="shared" si="0"/>
        <v>0</v>
      </c>
      <c r="M79" s="26" t="b">
        <f t="shared" si="0"/>
        <v>0</v>
      </c>
      <c r="N79" s="2" t="b">
        <f t="shared" si="0"/>
        <v>0</v>
      </c>
      <c r="O79" s="2" t="b">
        <f t="shared" si="0"/>
        <v>0</v>
      </c>
    </row>
    <row r="80" spans="1:15" x14ac:dyDescent="0.15">
      <c r="A80" s="8" t="s">
        <v>81</v>
      </c>
      <c r="B80" s="20">
        <f>IF(B$79=TRUE,15.2%,33.1%)</f>
        <v>0.33100000000000002</v>
      </c>
      <c r="C80" s="20">
        <f>IF(C$79=TRUE,19.1%,37%)</f>
        <v>0.37</v>
      </c>
      <c r="D80" s="20">
        <f>IF(D$79=TRUE,18.35%,36.25%)</f>
        <v>0.36249999999999999</v>
      </c>
      <c r="E80" s="20">
        <f>IF(E$79=TRUE,18.6%,36.5%)</f>
        <v>0.36499999999999999</v>
      </c>
      <c r="F80" s="20">
        <f>IF(F$79=TRUE,18.65%,36.55%)</f>
        <v>0.36549999999999999</v>
      </c>
      <c r="G80" s="20">
        <f>IF(G$79=TRUE,18.65%,36.55%)</f>
        <v>0.36549999999999999</v>
      </c>
      <c r="H80" s="20">
        <f>IF(H$79=TRUE,18.65%,36.55%)</f>
        <v>0.36549999999999999</v>
      </c>
      <c r="I80" s="20">
        <f>IF(I79=TRUE,18.75%,36.65%)</f>
        <v>0.36649999999999999</v>
      </c>
      <c r="J80" s="20">
        <f>IF(J79=TRUE,19.45%,37.35%)</f>
        <v>0.3735</v>
      </c>
      <c r="K80" s="20">
        <f>IF(K79=TRUE,19.2%,37.1%)</f>
        <v>0.371</v>
      </c>
      <c r="L80" s="20">
        <f>IF(L79=TRUE,19.17%,37.07%)</f>
        <v>0.37070000000000003</v>
      </c>
      <c r="M80" s="173">
        <f>IF(M79=TRUE,19.03%,36.93%)</f>
        <v>0.36930000000000002</v>
      </c>
      <c r="N80" s="20">
        <v>0.36969999999999997</v>
      </c>
      <c r="O80" s="20">
        <v>0.35820000000000002</v>
      </c>
    </row>
    <row r="81" spans="1:15" x14ac:dyDescent="0.15">
      <c r="A81" s="8" t="s">
        <v>82</v>
      </c>
      <c r="B81" s="20">
        <f>IF(B$79=TRUE,24.05%,41.95%)</f>
        <v>0.41950000000000004</v>
      </c>
      <c r="C81" s="20">
        <f>IF(C$79=TRUE,24.1%,42%)</f>
        <v>0.42</v>
      </c>
      <c r="D81" s="20">
        <f>IF(D$79=TRUE,24.1%,42%)</f>
        <v>0.42</v>
      </c>
      <c r="E81" s="20">
        <f>IF(E$79=TRUE,24.1%,42%)</f>
        <v>0.42</v>
      </c>
      <c r="F81" s="20">
        <f>IF(F$79=TRUE,22.5%,40.4%)</f>
        <v>0.40399999999999997</v>
      </c>
      <c r="G81" s="20">
        <f>IF(G$79=TRUE,22.9%,40.8%)</f>
        <v>0.40799999999999997</v>
      </c>
      <c r="H81" s="20">
        <f>IF(H$79=TRUE,22.95%,40.85%)</f>
        <v>0.40850000000000003</v>
      </c>
      <c r="I81" s="20">
        <f>IF(I79=TRUE,20.2%,38.1%)</f>
        <v>0.38100000000000001</v>
      </c>
      <c r="J81" s="20">
        <f>IF(J79=TRUE,19.45%,37.35%)</f>
        <v>0.3735</v>
      </c>
      <c r="K81" s="20">
        <f>IF(K79=TRUE,19.2%,37.1%)</f>
        <v>0.371</v>
      </c>
      <c r="L81" s="20">
        <f>IF(L79=TRUE,19.17%,37.07%)</f>
        <v>0.37070000000000003</v>
      </c>
      <c r="M81" s="173">
        <f>IF(M80=TRUE,19.03%,36.93%)</f>
        <v>0.36930000000000002</v>
      </c>
      <c r="N81" s="20">
        <v>0.36969999999999997</v>
      </c>
      <c r="O81" s="20">
        <v>0.35820000000000002</v>
      </c>
    </row>
    <row r="82" spans="1:15" x14ac:dyDescent="0.15">
      <c r="A82" s="8" t="s">
        <v>83</v>
      </c>
      <c r="B82" s="20">
        <v>0.42</v>
      </c>
      <c r="C82" s="20">
        <v>0.42</v>
      </c>
      <c r="D82" s="20">
        <v>0.42</v>
      </c>
      <c r="E82" s="20">
        <v>0.42</v>
      </c>
      <c r="F82" s="20">
        <v>0.40400000000000003</v>
      </c>
      <c r="G82" s="20">
        <v>0.40799999999999997</v>
      </c>
      <c r="H82" s="20">
        <v>0.40849999999999997</v>
      </c>
      <c r="I82" s="20">
        <v>0.38100000000000001</v>
      </c>
      <c r="J82" s="20">
        <v>0.3735</v>
      </c>
      <c r="K82" s="20">
        <v>0.371</v>
      </c>
      <c r="L82" s="20">
        <v>0.37069999999999997</v>
      </c>
      <c r="M82" s="173">
        <v>0.36930000000000002</v>
      </c>
      <c r="N82" s="20">
        <v>0.36969999999999997</v>
      </c>
      <c r="O82" s="20">
        <v>0.37480000000000002</v>
      </c>
    </row>
    <row r="83" spans="1:15" x14ac:dyDescent="0.15">
      <c r="A83" s="8" t="s">
        <v>84</v>
      </c>
      <c r="B83" s="20">
        <v>0.52</v>
      </c>
      <c r="C83" s="20">
        <v>0.52</v>
      </c>
      <c r="D83" s="20">
        <v>0.52</v>
      </c>
      <c r="E83" s="20">
        <v>0.52</v>
      </c>
      <c r="F83" s="20">
        <v>0.52</v>
      </c>
      <c r="G83" s="20">
        <v>0.52</v>
      </c>
      <c r="H83" s="20">
        <v>0.51949999999999996</v>
      </c>
      <c r="I83" s="20">
        <v>0.51749999999999996</v>
      </c>
      <c r="J83" s="20">
        <v>0.495</v>
      </c>
      <c r="K83" s="20">
        <v>0.495</v>
      </c>
      <c r="L83" s="20">
        <v>0.495</v>
      </c>
      <c r="M83" s="173">
        <v>0.495</v>
      </c>
      <c r="N83" s="52">
        <v>0.495</v>
      </c>
      <c r="O83" s="20">
        <v>0.495</v>
      </c>
    </row>
    <row r="84" spans="1:15" x14ac:dyDescent="0.15">
      <c r="A84" s="8"/>
      <c r="B84" s="2"/>
      <c r="C84" s="2"/>
      <c r="D84" s="2"/>
      <c r="E84" s="2"/>
      <c r="F84" s="2"/>
      <c r="G84" s="2"/>
      <c r="H84" s="2"/>
      <c r="I84" s="2"/>
      <c r="J84" s="2"/>
      <c r="K84" s="2"/>
      <c r="L84" s="2"/>
      <c r="M84" s="26"/>
      <c r="N84" s="2"/>
      <c r="O84" s="2"/>
    </row>
    <row r="85" spans="1:15" x14ac:dyDescent="0.15">
      <c r="A85" s="8" t="s">
        <v>55</v>
      </c>
      <c r="B85" s="19">
        <v>0.25</v>
      </c>
      <c r="C85" s="19">
        <v>0.25</v>
      </c>
      <c r="D85" s="19">
        <v>0.22</v>
      </c>
      <c r="E85" s="19">
        <v>0.25</v>
      </c>
      <c r="F85" s="19">
        <v>0.25</v>
      </c>
      <c r="G85" s="19">
        <v>0.25</v>
      </c>
      <c r="H85" s="19">
        <v>0.25</v>
      </c>
      <c r="I85" s="19">
        <v>0.25</v>
      </c>
      <c r="J85" s="20">
        <v>0.26250000000000001</v>
      </c>
      <c r="K85" s="20">
        <v>0.26900000000000002</v>
      </c>
      <c r="L85" s="20">
        <v>0.26900000000000002</v>
      </c>
      <c r="M85" s="173">
        <v>0.26900000000000002</v>
      </c>
      <c r="N85" s="19">
        <v>0.33</v>
      </c>
      <c r="O85" s="19">
        <v>0.31</v>
      </c>
    </row>
    <row r="86" spans="1:15" x14ac:dyDescent="0.15">
      <c r="A86" s="8"/>
      <c r="B86" s="2"/>
      <c r="C86" s="2"/>
      <c r="D86" s="2"/>
      <c r="E86" s="2"/>
      <c r="F86" s="2"/>
      <c r="G86" s="2"/>
      <c r="H86" s="2"/>
      <c r="I86" s="2"/>
      <c r="J86" s="2"/>
      <c r="K86" s="2"/>
      <c r="L86" s="2"/>
      <c r="M86" s="26"/>
      <c r="N86" s="2"/>
      <c r="O86" s="2"/>
    </row>
    <row r="87" spans="1:15" x14ac:dyDescent="0.15">
      <c r="A87" s="9" t="s">
        <v>8</v>
      </c>
      <c r="B87" s="33">
        <v>2012</v>
      </c>
      <c r="C87" s="33">
        <v>2013</v>
      </c>
      <c r="D87" s="33">
        <v>2014</v>
      </c>
      <c r="E87" s="33">
        <v>2015</v>
      </c>
      <c r="F87" s="33">
        <v>2016</v>
      </c>
      <c r="G87" s="33">
        <v>2017</v>
      </c>
      <c r="H87" s="33">
        <v>2018</v>
      </c>
      <c r="I87" s="33">
        <v>2019</v>
      </c>
      <c r="J87" s="33">
        <v>2020</v>
      </c>
      <c r="K87" s="33">
        <v>2021</v>
      </c>
      <c r="L87" s="33">
        <v>2022</v>
      </c>
      <c r="M87" s="171">
        <v>2023</v>
      </c>
      <c r="N87" s="33">
        <v>2024</v>
      </c>
      <c r="O87" s="33">
        <v>2025</v>
      </c>
    </row>
    <row r="88" spans="1:15" x14ac:dyDescent="0.15">
      <c r="A88" s="8" t="s">
        <v>85</v>
      </c>
      <c r="B88" s="2">
        <v>200000</v>
      </c>
      <c r="C88" s="2">
        <v>200000</v>
      </c>
      <c r="D88" s="2">
        <v>200000</v>
      </c>
      <c r="E88" s="2">
        <v>200000</v>
      </c>
      <c r="F88" s="2">
        <v>200000</v>
      </c>
      <c r="G88" s="2">
        <v>200000</v>
      </c>
      <c r="H88" s="2">
        <v>200000</v>
      </c>
      <c r="I88" s="2">
        <v>200000</v>
      </c>
      <c r="J88" s="2">
        <v>200000</v>
      </c>
      <c r="K88" s="2">
        <v>245000</v>
      </c>
      <c r="L88" s="2">
        <v>395000</v>
      </c>
      <c r="M88" s="26">
        <v>200000</v>
      </c>
      <c r="N88" s="2">
        <v>200000</v>
      </c>
      <c r="O88" s="2">
        <v>200000</v>
      </c>
    </row>
    <row r="89" spans="1:15" x14ac:dyDescent="0.15">
      <c r="A89" s="8" t="s">
        <v>86</v>
      </c>
      <c r="B89" s="19">
        <v>0.2</v>
      </c>
      <c r="C89" s="19">
        <v>0.2</v>
      </c>
      <c r="D89" s="19">
        <v>0.2</v>
      </c>
      <c r="E89" s="19">
        <v>0.2</v>
      </c>
      <c r="F89" s="19">
        <v>0.2</v>
      </c>
      <c r="G89" s="19">
        <v>0.2</v>
      </c>
      <c r="H89" s="19">
        <v>0.2</v>
      </c>
      <c r="I89" s="53">
        <v>0.19</v>
      </c>
      <c r="J89" s="53">
        <v>0.16500000000000001</v>
      </c>
      <c r="K89" s="53">
        <v>0.15</v>
      </c>
      <c r="L89" s="19">
        <v>0.15</v>
      </c>
      <c r="M89" s="174">
        <v>0.19</v>
      </c>
      <c r="N89" s="19">
        <v>0.19</v>
      </c>
      <c r="O89" s="19">
        <v>0.19</v>
      </c>
    </row>
    <row r="90" spans="1:15" x14ac:dyDescent="0.15">
      <c r="A90" s="8" t="s">
        <v>87</v>
      </c>
      <c r="B90" s="19">
        <v>0.25</v>
      </c>
      <c r="C90" s="19">
        <v>0.25</v>
      </c>
      <c r="D90" s="19">
        <v>0.25</v>
      </c>
      <c r="E90" s="19">
        <v>0.25</v>
      </c>
      <c r="F90" s="19">
        <v>0.25</v>
      </c>
      <c r="G90" s="19">
        <v>0.25</v>
      </c>
      <c r="H90" s="19">
        <v>0.25</v>
      </c>
      <c r="I90" s="53">
        <v>0.25</v>
      </c>
      <c r="J90" s="53">
        <v>0.25</v>
      </c>
      <c r="K90" s="53">
        <v>0.25</v>
      </c>
      <c r="L90" s="19">
        <v>0.25800000000000001</v>
      </c>
      <c r="M90" s="175">
        <v>0.25800000000000001</v>
      </c>
      <c r="N90" s="53">
        <v>0.25800000000000001</v>
      </c>
      <c r="O90" s="20">
        <v>0.25800000000000001</v>
      </c>
    </row>
    <row r="91" spans="1:15" x14ac:dyDescent="0.15">
      <c r="A91" s="8"/>
      <c r="B91" s="2"/>
      <c r="C91" s="2"/>
      <c r="D91" s="2"/>
      <c r="E91" s="2"/>
      <c r="F91" s="2"/>
      <c r="G91" s="2"/>
      <c r="H91" s="2"/>
      <c r="I91" s="2"/>
      <c r="J91" s="2"/>
      <c r="K91" s="2"/>
      <c r="L91" s="2"/>
      <c r="M91" s="26"/>
      <c r="N91" s="2"/>
      <c r="O91" s="2"/>
    </row>
    <row r="92" spans="1:15" x14ac:dyDescent="0.15">
      <c r="A92" s="9" t="s">
        <v>88</v>
      </c>
      <c r="B92" s="54">
        <f>IF(B$79=TRUE,934,2001)</f>
        <v>2001</v>
      </c>
      <c r="C92" s="54">
        <f>IF(C$79=TRUE,1034,2033)</f>
        <v>2033</v>
      </c>
      <c r="D92" s="54">
        <f>IF(D$79=TRUE,1065,2103)</f>
        <v>2103</v>
      </c>
      <c r="E92" s="54">
        <f>IF(E$79=TRUE,1123,2203)</f>
        <v>2203</v>
      </c>
      <c r="F92" s="54">
        <f>IF(F$79=TRUE,1145,2242)</f>
        <v>2242</v>
      </c>
      <c r="G92" s="54">
        <f>IF(G$79=TRUE,1151,2254)</f>
        <v>2254</v>
      </c>
      <c r="H92" s="54">
        <f>IF(H$79=TRUE,1157,2265)</f>
        <v>2265</v>
      </c>
      <c r="I92" s="54">
        <f>IF(I79=TRUE,1268,2477)</f>
        <v>2477</v>
      </c>
      <c r="J92" s="54">
        <f>IF(J79=TRUE,1413,2711)</f>
        <v>2711</v>
      </c>
      <c r="K92" s="54">
        <f>IF(K79=TRUE,1453,2837)</f>
        <v>2837</v>
      </c>
      <c r="L92" s="54">
        <f>IF(L79=TRUE,1494,2888)</f>
        <v>2888</v>
      </c>
      <c r="M92" s="176">
        <f>IF(M79=TRUE,1588,3070)</f>
        <v>3070</v>
      </c>
      <c r="N92" s="55">
        <f>IF(N79=TRUE,1735,3362)</f>
        <v>3362</v>
      </c>
      <c r="O92" s="55">
        <v>3068</v>
      </c>
    </row>
    <row r="93" spans="1:15" x14ac:dyDescent="0.15">
      <c r="A93" s="8" t="s">
        <v>89</v>
      </c>
      <c r="B93" s="56">
        <v>0</v>
      </c>
      <c r="C93" s="56">
        <v>0</v>
      </c>
      <c r="D93" s="57">
        <f>IF(D$79=TRUE,2%,2%)</f>
        <v>0.02</v>
      </c>
      <c r="E93" s="57">
        <f>IF(E$79=TRUE,1.183%,2.32%)</f>
        <v>2.3199999999999998E-2</v>
      </c>
      <c r="F93" s="57">
        <f>IF(F$79=TRUE,2.46%,4.822%)</f>
        <v>4.8219999999999999E-2</v>
      </c>
      <c r="G93" s="57">
        <f>IF(G$79=TRUE,2.443%,4.787%)</f>
        <v>4.7869999999999996E-2</v>
      </c>
      <c r="H93" s="57">
        <f>IF(H$79=TRUE,2.389%,4.683%)</f>
        <v>4.6829999999999997E-2</v>
      </c>
      <c r="I93" s="57">
        <f>IF(I79=TRUE,2.633%,5.147%)</f>
        <v>5.1470000000000002E-2</v>
      </c>
      <c r="J93" s="57">
        <f>IF(J79=TRUE,2.954%,5.672%)</f>
        <v>5.672E-2</v>
      </c>
      <c r="K93" s="57">
        <f>IF(K79=TRUE,3.093%,5.977%)</f>
        <v>5.9770000000000004E-2</v>
      </c>
      <c r="L93" s="57">
        <f>IF(L79=TRUE,3.106%,6.007%)</f>
        <v>6.0069999999999998E-2</v>
      </c>
      <c r="M93" s="177">
        <f>IF(M79=TRUE,3.141%,6.095%)</f>
        <v>6.0949999999999997E-2</v>
      </c>
      <c r="N93" s="56">
        <v>6.6299999999999998E-2</v>
      </c>
      <c r="O93" s="20">
        <v>6.3369999999999996E-2</v>
      </c>
    </row>
    <row r="94" spans="1:15" x14ac:dyDescent="0.15">
      <c r="A94" s="8" t="s">
        <v>90</v>
      </c>
      <c r="B94" s="58">
        <f>B92</f>
        <v>2001</v>
      </c>
      <c r="C94" s="58">
        <f>C92</f>
        <v>2033</v>
      </c>
      <c r="D94" s="59">
        <f>IF(D$79=TRUE,693,1366)</f>
        <v>1366</v>
      </c>
      <c r="E94" s="59">
        <f>IF(E$79=TRUE,685,1342)</f>
        <v>1342</v>
      </c>
      <c r="F94" s="59">
        <v>0</v>
      </c>
      <c r="G94" s="59">
        <v>0</v>
      </c>
      <c r="H94" s="59">
        <v>0</v>
      </c>
      <c r="I94" s="59">
        <v>0</v>
      </c>
      <c r="J94" s="59">
        <v>0</v>
      </c>
      <c r="K94" s="59">
        <v>0</v>
      </c>
      <c r="L94" s="58">
        <v>0</v>
      </c>
      <c r="M94" s="178">
        <v>0</v>
      </c>
      <c r="N94" s="58">
        <v>0</v>
      </c>
      <c r="O94" s="58">
        <v>0</v>
      </c>
    </row>
    <row r="95" spans="1:15" x14ac:dyDescent="0.15">
      <c r="A95" s="8"/>
      <c r="B95" s="20"/>
      <c r="C95" s="2"/>
      <c r="D95" s="22"/>
      <c r="E95" s="14"/>
      <c r="F95" s="14"/>
      <c r="G95" s="2"/>
      <c r="H95" s="2"/>
      <c r="I95" s="2"/>
      <c r="J95" s="2"/>
      <c r="K95" s="20"/>
      <c r="L95" s="2"/>
      <c r="M95" s="179"/>
      <c r="N95" s="14"/>
      <c r="O95" s="14"/>
    </row>
    <row r="96" spans="1:15" x14ac:dyDescent="0.15">
      <c r="A96" s="9" t="s">
        <v>41</v>
      </c>
      <c r="B96" s="33">
        <v>2012</v>
      </c>
      <c r="C96" s="33">
        <v>2013</v>
      </c>
      <c r="D96" s="33">
        <v>2014</v>
      </c>
      <c r="E96" s="33">
        <v>2015</v>
      </c>
      <c r="F96" s="33">
        <v>2016</v>
      </c>
      <c r="G96" s="33">
        <v>2017</v>
      </c>
      <c r="H96" s="33">
        <v>2018</v>
      </c>
      <c r="I96" s="33">
        <v>2019</v>
      </c>
      <c r="J96" s="33">
        <v>2020</v>
      </c>
      <c r="K96" s="33">
        <v>2021</v>
      </c>
      <c r="L96" s="33">
        <v>2022</v>
      </c>
      <c r="M96" s="171">
        <v>2023</v>
      </c>
      <c r="N96" s="33">
        <v>2024</v>
      </c>
      <c r="O96" s="33">
        <v>2025</v>
      </c>
    </row>
    <row r="97" spans="1:15" x14ac:dyDescent="0.15">
      <c r="A97" s="8" t="s">
        <v>51</v>
      </c>
      <c r="B97" s="58">
        <v>9295</v>
      </c>
      <c r="C97" s="58">
        <v>8816</v>
      </c>
      <c r="D97" s="58">
        <v>8913</v>
      </c>
      <c r="E97" s="60">
        <v>9010</v>
      </c>
      <c r="F97" s="60">
        <v>9147</v>
      </c>
      <c r="G97" s="58">
        <v>9309</v>
      </c>
      <c r="H97" s="58">
        <v>9468</v>
      </c>
      <c r="I97" s="58">
        <v>9694</v>
      </c>
      <c r="J97" s="58">
        <v>9921</v>
      </c>
      <c r="K97" s="58">
        <v>10108</v>
      </c>
      <c r="L97" s="58">
        <v>10350</v>
      </c>
      <c r="M97" s="178">
        <v>10740</v>
      </c>
      <c r="N97" s="60">
        <v>11491</v>
      </c>
      <c r="O97" s="60">
        <v>12169</v>
      </c>
    </row>
    <row r="98" spans="1:15" x14ac:dyDescent="0.15">
      <c r="A98" s="8" t="s">
        <v>52</v>
      </c>
      <c r="B98" s="58">
        <v>21059</v>
      </c>
      <c r="C98" s="58">
        <v>18502</v>
      </c>
      <c r="D98" s="58">
        <v>19248</v>
      </c>
      <c r="E98" s="58">
        <v>19463</v>
      </c>
      <c r="F98" s="58">
        <v>19758</v>
      </c>
      <c r="G98" s="58">
        <v>20108</v>
      </c>
      <c r="H98" s="58">
        <v>20450</v>
      </c>
      <c r="I98" s="58">
        <v>20940</v>
      </c>
      <c r="J98" s="58">
        <v>21430</v>
      </c>
      <c r="K98" s="58">
        <v>21835</v>
      </c>
      <c r="L98" s="58">
        <v>22356</v>
      </c>
      <c r="M98" s="178">
        <v>23201</v>
      </c>
      <c r="N98" s="58">
        <f>N74</f>
        <v>24821</v>
      </c>
      <c r="O98" s="58">
        <f t="shared" ref="O98" si="1">O74</f>
        <v>26288</v>
      </c>
    </row>
    <row r="99" spans="1:15" x14ac:dyDescent="0.15">
      <c r="A99" s="8" t="s">
        <v>53</v>
      </c>
      <c r="B99" s="54">
        <v>45181</v>
      </c>
      <c r="C99" s="54">
        <v>40248</v>
      </c>
      <c r="D99" s="54">
        <v>40721</v>
      </c>
      <c r="E99" s="55">
        <v>49770</v>
      </c>
      <c r="F99" s="55">
        <v>34015</v>
      </c>
      <c r="G99" s="58">
        <v>32444</v>
      </c>
      <c r="H99" s="54">
        <v>33112</v>
      </c>
      <c r="I99" s="54">
        <v>34060</v>
      </c>
      <c r="J99" s="54">
        <v>34954</v>
      </c>
      <c r="K99" s="54">
        <v>35652</v>
      </c>
      <c r="L99" s="54">
        <v>36649</v>
      </c>
      <c r="M99" s="176">
        <v>37691</v>
      </c>
      <c r="N99" s="60">
        <v>39958</v>
      </c>
      <c r="O99" s="60">
        <v>43071</v>
      </c>
    </row>
    <row r="100" spans="1:15" x14ac:dyDescent="0.15">
      <c r="A100" s="8" t="s">
        <v>54</v>
      </c>
      <c r="B100" s="58">
        <v>514.17999999999995</v>
      </c>
      <c r="C100" s="58">
        <v>69573</v>
      </c>
      <c r="D100" s="58">
        <v>83971</v>
      </c>
      <c r="E100" s="58">
        <v>100670</v>
      </c>
      <c r="F100" s="58">
        <v>111590</v>
      </c>
      <c r="G100" s="58">
        <v>121972</v>
      </c>
      <c r="H100" s="58">
        <v>123362</v>
      </c>
      <c r="I100" s="58">
        <v>90710</v>
      </c>
      <c r="J100" s="58">
        <f>(J107/J105)+J99</f>
        <v>98604</v>
      </c>
      <c r="K100" s="58">
        <f>(K107/K105)+K99</f>
        <v>105735.33333333334</v>
      </c>
      <c r="L100" s="58">
        <f>(L107/L105)+L99</f>
        <v>109345.24573378838</v>
      </c>
      <c r="M100" s="178">
        <f>(M107/M105)+M99</f>
        <v>115294.68663594472</v>
      </c>
      <c r="N100" s="58">
        <v>124935</v>
      </c>
      <c r="O100" s="58">
        <v>129078</v>
      </c>
    </row>
    <row r="101" spans="1:15" x14ac:dyDescent="0.15">
      <c r="A101" s="8"/>
      <c r="B101" s="2"/>
      <c r="C101" s="2"/>
      <c r="D101" s="20"/>
      <c r="E101" s="2"/>
      <c r="F101" s="22"/>
      <c r="G101" s="14"/>
      <c r="H101" s="14"/>
      <c r="I101" s="2"/>
      <c r="J101" s="2"/>
      <c r="K101" s="2"/>
      <c r="L101" s="2"/>
      <c r="M101" s="26"/>
      <c r="N101" s="2"/>
      <c r="O101" s="22"/>
    </row>
    <row r="102" spans="1:15" x14ac:dyDescent="0.15">
      <c r="A102" s="8" t="s">
        <v>81</v>
      </c>
      <c r="B102" s="2">
        <f>IF(B$79=TRUE,0.796%,1.733%)</f>
        <v>1.7330000000000002E-2</v>
      </c>
      <c r="C102" s="2">
        <f>IF(C$79=TRUE,0.943%,1.827%)</f>
        <v>1.8269999999999998E-2</v>
      </c>
      <c r="D102" s="2">
        <f>IF(D$79=TRUE,0.915%,1.807%)</f>
        <v>1.8069999999999999E-2</v>
      </c>
      <c r="E102" s="2">
        <f>IF(E$79=TRUE,0.922%,1.81%)</f>
        <v>1.8100000000000002E-2</v>
      </c>
      <c r="F102" s="2">
        <f>IF(F$79=TRUE,0.915%,1.793%)</f>
        <v>1.7929999999999998E-2</v>
      </c>
      <c r="G102" s="2">
        <f>IF(G$79=TRUE,0.904%,1.772%)</f>
        <v>1.772E-2</v>
      </c>
      <c r="H102" s="2">
        <f>IF(H$79=TRUE,0.901%,1.764%)</f>
        <v>1.7639999999999999E-2</v>
      </c>
      <c r="I102" s="2">
        <f>IF(I79=TRUE,0.898%,1.754%)</f>
        <v>1.754E-2</v>
      </c>
      <c r="J102" s="2">
        <f>IF(J79=TRUE,1.464%,2.812%)</f>
        <v>2.8119999999999999E-2</v>
      </c>
      <c r="K102" s="2">
        <f>IF(K79=TRUE,2.371%,4.581%)</f>
        <v>4.5810000000000003E-2</v>
      </c>
      <c r="L102" s="2">
        <f>IF(L79=TRUE,2.348%,4.541%)</f>
        <v>4.5410000000000006E-2</v>
      </c>
      <c r="M102" s="26">
        <f>IF(M79=TRUE,4.241%,8.231%)</f>
        <v>8.2309999999999994E-2</v>
      </c>
      <c r="N102" s="2">
        <f>IF(N79=TRUE,4.346%,8.425%)</f>
        <v>8.4250000000000005E-2</v>
      </c>
      <c r="O102" s="211">
        <v>8.0530000000000004E-2</v>
      </c>
    </row>
    <row r="103" spans="1:15" x14ac:dyDescent="0.15">
      <c r="A103" s="8" t="s">
        <v>82</v>
      </c>
      <c r="B103" s="2">
        <f>IF(B$79=TRUE,5.657%,12.32%)</f>
        <v>0.1232</v>
      </c>
      <c r="C103" s="2">
        <f>IF(C$79=TRUE,8.319%,16.115%)</f>
        <v>0.16114999999999999</v>
      </c>
      <c r="D103" s="2">
        <f>IF(D$79=TRUE,9.479%,18.724%)</f>
        <v>0.18723999999999999</v>
      </c>
      <c r="E103" s="2">
        <f>IF(E$79=TRUE,10.028%,19.679%)</f>
        <v>0.19678999999999999</v>
      </c>
      <c r="F103" s="2">
        <f>IF(F$79=TRUE,14.133%,27.698%)</f>
        <v>0.27698</v>
      </c>
      <c r="G103" s="2">
        <f>IF(G$79=TRUE,14.449%,28.317%)</f>
        <v>0.28316999999999998</v>
      </c>
      <c r="H103" s="2">
        <f>IF(H$79=TRUE,14.32%,28.064%)</f>
        <v>0.28064</v>
      </c>
      <c r="I103" s="2">
        <f>IF(I79=TRUE,14.689%,28.712%)</f>
        <v>0.28711999999999999</v>
      </c>
      <c r="J103" s="2">
        <f>IF(J79=TRUE,15.004%,28.812%)</f>
        <v>0.28811999999999999</v>
      </c>
      <c r="K103" s="2">
        <f>IF(K79=TRUE,14.89%,28.771%)</f>
        <v>0.28771000000000002</v>
      </c>
      <c r="L103" s="2">
        <f>IF(L79=TRUE,14.718%,28.461%)</f>
        <v>0.28460999999999997</v>
      </c>
      <c r="M103" s="26">
        <f>IF(M79=TRUE,15.388%,29.861%)</f>
        <v>0.29860999999999999</v>
      </c>
      <c r="N103" s="2">
        <f>IF(N79=TRUE,16.214%,31.433%)</f>
        <v>0.31433</v>
      </c>
      <c r="O103" s="211">
        <v>0.30030000000000001</v>
      </c>
    </row>
    <row r="104" spans="1:15" x14ac:dyDescent="0.15">
      <c r="A104" s="8" t="s">
        <v>83</v>
      </c>
      <c r="B104" s="2">
        <v>0</v>
      </c>
      <c r="C104" s="2">
        <v>0</v>
      </c>
      <c r="D104" s="2">
        <v>0</v>
      </c>
      <c r="E104" s="2">
        <v>0</v>
      </c>
      <c r="F104" s="2">
        <v>0</v>
      </c>
      <c r="G104" s="2">
        <v>0</v>
      </c>
      <c r="H104" s="2">
        <v>0</v>
      </c>
      <c r="I104" s="2">
        <v>0</v>
      </c>
      <c r="J104" s="2">
        <f>IF(J79=TRUE,0.862%,1.656%)</f>
        <v>1.6559999999999998E-2</v>
      </c>
      <c r="K104" s="2">
        <f>IF(K79=TRUE,1.378%,2.663%)</f>
        <v>2.6629999999999997E-2</v>
      </c>
      <c r="L104" s="2">
        <f>IF(L79=TRUE,1.349%,2.61%)</f>
        <v>2.6099999999999998E-2</v>
      </c>
      <c r="M104" s="26">
        <f>IF(M79=TRUE,1.589%,3.085%)</f>
        <v>3.0849999999999999E-2</v>
      </c>
      <c r="N104" s="2">
        <f>IF(N79=TRUE,1.275%,2.471%)</f>
        <v>2.4709999999999999E-2</v>
      </c>
      <c r="O104" s="2">
        <v>2.2579999999999999E-2</v>
      </c>
    </row>
    <row r="105" spans="1:15" x14ac:dyDescent="0.15">
      <c r="A105" s="8" t="s">
        <v>84</v>
      </c>
      <c r="B105" s="2">
        <f>IF(B$79=TRUE,0.574%,1.25%)</f>
        <v>1.2500000000000001E-2</v>
      </c>
      <c r="C105" s="2">
        <f>IF(C$79=TRUE,2.064%,4%)</f>
        <v>0.04</v>
      </c>
      <c r="D105" s="2">
        <f>IF(D$79=TRUE,2.025%,4%)</f>
        <v>0.04</v>
      </c>
      <c r="E105" s="2">
        <f>IF(E$79=TRUE,2.038%,4%)</f>
        <v>0.04</v>
      </c>
      <c r="F105" s="2">
        <f>IF(F$79=TRUE,2.041%,4%)</f>
        <v>0.04</v>
      </c>
      <c r="G105" s="2">
        <f>IF(G$79=TRUE,1.837%,3.6%)</f>
        <v>3.6000000000000004E-2</v>
      </c>
      <c r="H105" s="2">
        <f>IF(H$79=TRUE,1.837%,3.6%)</f>
        <v>3.6000000000000004E-2</v>
      </c>
      <c r="I105" s="2">
        <f>IF(I79=TRUE,3.069%,6%)</f>
        <v>0.06</v>
      </c>
      <c r="J105" s="2">
        <f>IF(J79=TRUE,3.124%,6%)</f>
        <v>0.06</v>
      </c>
      <c r="K105" s="2">
        <f>IF(K79=TRUE,3.105%,6%)</f>
        <v>0.06</v>
      </c>
      <c r="L105" s="2">
        <f>IF(L79=TRUE,3.03%,5.86%)</f>
        <v>5.8600000000000006E-2</v>
      </c>
      <c r="M105" s="26">
        <f>IF(M79=TRUE,3.355%,6.51%)</f>
        <v>6.5099999999999991E-2</v>
      </c>
      <c r="N105" s="2">
        <f>IF(N79=TRUE,3.358%,6.51%)</f>
        <v>6.5099999999999991E-2</v>
      </c>
      <c r="O105" s="2">
        <v>6.5100000000000005E-2</v>
      </c>
    </row>
    <row r="106" spans="1:15" x14ac:dyDescent="0.15">
      <c r="A106" s="9"/>
      <c r="B106" s="10"/>
      <c r="C106" s="10"/>
      <c r="D106" s="10"/>
      <c r="E106" s="10"/>
      <c r="F106" s="10"/>
      <c r="G106" s="11"/>
      <c r="H106" s="11"/>
      <c r="I106" s="2"/>
      <c r="J106" s="10"/>
      <c r="K106" s="10"/>
      <c r="L106" s="10"/>
      <c r="M106" s="180"/>
      <c r="N106" s="10"/>
      <c r="O106" s="10"/>
    </row>
    <row r="107" spans="1:15" x14ac:dyDescent="0.15">
      <c r="A107" s="8" t="s">
        <v>91</v>
      </c>
      <c r="B107" s="2">
        <f>IF(B$79=TRUE,740,1611)</f>
        <v>1611</v>
      </c>
      <c r="C107" s="2">
        <f>IF(C$79=TRUE,890,1723)</f>
        <v>1723</v>
      </c>
      <c r="D107" s="2">
        <f>IF(D$79=TRUE,1062,2097)</f>
        <v>2097</v>
      </c>
      <c r="E107" s="2">
        <f>IF(E$79=TRUE,1132,2220)</f>
        <v>2220</v>
      </c>
      <c r="F107" s="2">
        <f>IF(F$79=TRUE,1585,3103)</f>
        <v>3103</v>
      </c>
      <c r="G107" s="2">
        <f>IF(G$79=TRUE,1645,3223)</f>
        <v>3223</v>
      </c>
      <c r="H107" s="2">
        <f>IF(H$79=TRUE,1659,3249)</f>
        <v>3249</v>
      </c>
      <c r="I107" s="2">
        <f>IF(I79=TRUE,1745,3399)</f>
        <v>3399</v>
      </c>
      <c r="J107" s="2">
        <f>IF(J79=TRUE,1989,3819)</f>
        <v>3819</v>
      </c>
      <c r="K107" s="2">
        <f>IF(K79=TRUE,2178,4205)</f>
        <v>4205</v>
      </c>
      <c r="L107" s="2">
        <f>IF(L79=TRUE,2204,4260)</f>
        <v>4260</v>
      </c>
      <c r="M107" s="26">
        <f>IF(M79=TRUE,2604,5052)</f>
        <v>5052</v>
      </c>
      <c r="N107" s="2">
        <f>IF(N79=TRUE,2854,5532)</f>
        <v>5532</v>
      </c>
      <c r="O107" s="22">
        <v>5599</v>
      </c>
    </row>
    <row r="108" spans="1:15" x14ac:dyDescent="0.15">
      <c r="A108" s="8" t="s">
        <v>92</v>
      </c>
      <c r="B108" s="2">
        <f>IF(B$79=TRUE,704,740)</f>
        <v>740</v>
      </c>
      <c r="C108" s="2">
        <f>IF(C$79=TRUE,284,550)</f>
        <v>550</v>
      </c>
      <c r="D108" s="2">
        <f>IF(D$79=TRUE,186,367)</f>
        <v>367</v>
      </c>
      <c r="E108" s="2">
        <f>IF(E$79=TRUE,94,184)</f>
        <v>184</v>
      </c>
      <c r="F108" s="2">
        <v>0</v>
      </c>
      <c r="G108" s="2">
        <v>0</v>
      </c>
      <c r="H108" s="2">
        <v>0</v>
      </c>
      <c r="I108" s="2">
        <v>0</v>
      </c>
      <c r="J108" s="2">
        <v>0</v>
      </c>
      <c r="K108" s="2">
        <v>0</v>
      </c>
      <c r="L108" s="2">
        <v>0</v>
      </c>
      <c r="M108" s="26">
        <v>0</v>
      </c>
      <c r="N108" s="2">
        <v>0</v>
      </c>
      <c r="O108" s="22">
        <v>0</v>
      </c>
    </row>
    <row r="109" spans="1:15" x14ac:dyDescent="0.15">
      <c r="A109" s="8"/>
      <c r="B109" s="2"/>
      <c r="C109" s="2"/>
      <c r="D109" s="20"/>
      <c r="E109" s="2"/>
      <c r="F109" s="22"/>
      <c r="G109" s="14"/>
      <c r="H109" s="14"/>
      <c r="I109" s="2"/>
      <c r="J109" s="2"/>
      <c r="K109" s="2"/>
      <c r="L109" s="2"/>
      <c r="M109" s="173"/>
      <c r="N109" s="2"/>
      <c r="O109" s="22"/>
    </row>
    <row r="110" spans="1:15" x14ac:dyDescent="0.15">
      <c r="A110" s="9" t="s">
        <v>62</v>
      </c>
      <c r="B110" s="34">
        <v>0</v>
      </c>
      <c r="C110" s="34">
        <v>0</v>
      </c>
      <c r="D110" s="34">
        <v>5.0000000000000001E-3</v>
      </c>
      <c r="E110" s="34">
        <v>0.01</v>
      </c>
      <c r="F110" s="34">
        <v>1.4999999999999999E-2</v>
      </c>
      <c r="G110" s="34">
        <v>0.02</v>
      </c>
      <c r="H110" s="13">
        <v>2.4500000000000001E-2</v>
      </c>
      <c r="I110" s="13">
        <v>2.75E-2</v>
      </c>
      <c r="J110" s="13">
        <v>3.5000000000000003E-2</v>
      </c>
      <c r="K110" s="13">
        <v>6.5000000000000002E-2</v>
      </c>
      <c r="L110" s="153">
        <v>9.5000000000000001E-2</v>
      </c>
      <c r="M110" s="181">
        <f>M83-M82</f>
        <v>0.12569999999999998</v>
      </c>
      <c r="N110" s="34">
        <f>N83-N82</f>
        <v>0.12530000000000002</v>
      </c>
      <c r="O110" s="13">
        <v>0.1202</v>
      </c>
    </row>
    <row r="111" spans="1:15" x14ac:dyDescent="0.15">
      <c r="A111" s="9"/>
      <c r="B111" s="34"/>
      <c r="C111" s="34"/>
      <c r="D111" s="34"/>
      <c r="E111" s="34"/>
      <c r="F111" s="34"/>
      <c r="G111" s="34"/>
      <c r="H111" s="13"/>
      <c r="I111" s="34">
        <v>0</v>
      </c>
      <c r="J111" s="13">
        <v>3.5000000000000003E-2</v>
      </c>
      <c r="K111" s="13">
        <v>6.5000000000000002E-2</v>
      </c>
      <c r="L111" s="153">
        <v>9.5000000000000001E-2</v>
      </c>
      <c r="M111" s="181">
        <f>M110</f>
        <v>0.12569999999999998</v>
      </c>
      <c r="N111" s="34">
        <f>N110</f>
        <v>0.12530000000000002</v>
      </c>
      <c r="O111" s="13">
        <v>0.1202</v>
      </c>
    </row>
    <row r="112" spans="1:15" x14ac:dyDescent="0.15">
      <c r="A112" s="8"/>
      <c r="B112" s="2"/>
      <c r="C112" s="2"/>
      <c r="D112" s="2"/>
      <c r="E112" s="2"/>
      <c r="F112" s="2"/>
      <c r="G112" s="32"/>
      <c r="H112" s="32"/>
      <c r="I112" s="2"/>
      <c r="J112" s="13"/>
      <c r="K112" s="13"/>
      <c r="L112" s="153"/>
      <c r="M112" s="26"/>
      <c r="N112" s="2"/>
      <c r="O112" s="2"/>
    </row>
    <row r="113" spans="1:15" x14ac:dyDescent="0.15">
      <c r="A113" s="9" t="s">
        <v>66</v>
      </c>
      <c r="B113" s="33">
        <v>2012</v>
      </c>
      <c r="C113" s="33">
        <v>2013</v>
      </c>
      <c r="D113" s="33">
        <v>2014</v>
      </c>
      <c r="E113" s="33">
        <v>2015</v>
      </c>
      <c r="F113" s="33">
        <v>2016</v>
      </c>
      <c r="G113" s="33">
        <v>2017</v>
      </c>
      <c r="H113" s="33">
        <v>2018</v>
      </c>
      <c r="I113" s="33">
        <v>2019</v>
      </c>
      <c r="J113" s="33">
        <v>2020</v>
      </c>
      <c r="K113" s="33">
        <v>2021</v>
      </c>
      <c r="L113" s="33">
        <v>2022</v>
      </c>
      <c r="M113" s="171">
        <v>2023</v>
      </c>
      <c r="N113" s="33">
        <v>2024</v>
      </c>
      <c r="O113" s="33">
        <v>2025</v>
      </c>
    </row>
    <row r="114" spans="1:15" x14ac:dyDescent="0.15">
      <c r="A114" s="8" t="s">
        <v>51</v>
      </c>
      <c r="B114" s="2">
        <v>4814</v>
      </c>
      <c r="C114" s="2">
        <v>4814</v>
      </c>
      <c r="D114" s="2">
        <v>4814</v>
      </c>
      <c r="E114" s="2">
        <v>4857</v>
      </c>
      <c r="F114" s="2">
        <v>4881</v>
      </c>
      <c r="G114" s="2">
        <v>4895</v>
      </c>
      <c r="H114" s="2">
        <v>4934</v>
      </c>
      <c r="I114" s="2">
        <v>4993</v>
      </c>
      <c r="J114" s="2">
        <v>5072</v>
      </c>
      <c r="K114" s="2">
        <v>5153</v>
      </c>
      <c r="L114" s="2">
        <v>5219</v>
      </c>
      <c r="M114" s="26">
        <v>5547</v>
      </c>
      <c r="N114" s="2">
        <v>6074</v>
      </c>
      <c r="O114" s="2">
        <v>6145</v>
      </c>
    </row>
    <row r="115" spans="1:15" x14ac:dyDescent="0.15">
      <c r="A115" s="8" t="s">
        <v>52</v>
      </c>
      <c r="B115" s="2">
        <v>32539</v>
      </c>
      <c r="C115" s="2">
        <v>32539</v>
      </c>
      <c r="D115" s="2">
        <v>32539</v>
      </c>
      <c r="E115" s="2">
        <v>32832</v>
      </c>
      <c r="F115" s="2">
        <v>32969</v>
      </c>
      <c r="G115" s="2">
        <v>33065</v>
      </c>
      <c r="H115" s="2">
        <v>33331</v>
      </c>
      <c r="I115" s="2">
        <v>29753</v>
      </c>
      <c r="J115" s="2">
        <v>30234</v>
      </c>
      <c r="K115" s="2">
        <v>29738</v>
      </c>
      <c r="L115" s="2">
        <v>27350</v>
      </c>
      <c r="M115" s="26">
        <v>29075</v>
      </c>
      <c r="N115" s="2">
        <v>31838</v>
      </c>
      <c r="O115" s="2">
        <v>32223</v>
      </c>
    </row>
    <row r="116" spans="1:15" x14ac:dyDescent="0.15">
      <c r="A116" s="8" t="s">
        <v>93</v>
      </c>
      <c r="B116" s="35">
        <f>IF(B79=TRUE,1.837%,4%)</f>
        <v>0.04</v>
      </c>
      <c r="C116" s="35">
        <f>IF(C79=TRUE,2.064%,4%)</f>
        <v>0.04</v>
      </c>
      <c r="D116" s="35">
        <f>IF(D79=TRUE,2.038%,4%)</f>
        <v>0.04</v>
      </c>
      <c r="E116" s="35">
        <f>IF(E79=TRUE,2.037%,4%)</f>
        <v>0.04</v>
      </c>
      <c r="F116" s="35">
        <f>IF(F79=TRUE,3.143%,6.159%)</f>
        <v>6.1589999999999999E-2</v>
      </c>
      <c r="G116" s="35">
        <f>IF(G79=TRUE,3.143%,6.159%)</f>
        <v>6.1589999999999999E-2</v>
      </c>
      <c r="H116" s="35">
        <f>IF(H79=TRUE,3.143%,6.159%)</f>
        <v>6.1589999999999999E-2</v>
      </c>
      <c r="I116" s="35">
        <f>IF(I79=TRUE,5.86%,11.45%)</f>
        <v>0.11449999999999999</v>
      </c>
      <c r="J116" s="35">
        <f>IF(J79=TRUE,5.963%,11.45%)</f>
        <v>0.11449999999999999</v>
      </c>
      <c r="K116" s="35">
        <f>IF(K79=TRUE,5.963%,11.45%)</f>
        <v>0.11449999999999999</v>
      </c>
      <c r="L116" s="170">
        <f>IF(L79=TRUE,5.921%,11.45%)</f>
        <v>0.11449999999999999</v>
      </c>
      <c r="M116" s="182">
        <f>IF(M79=TRUE,5.921%,11.45%)</f>
        <v>0.11449999999999999</v>
      </c>
      <c r="N116" s="37">
        <v>0.1145</v>
      </c>
      <c r="O116" s="37">
        <v>0.1145</v>
      </c>
    </row>
    <row r="117" spans="1:15" x14ac:dyDescent="0.15">
      <c r="A117" s="8" t="s">
        <v>58</v>
      </c>
      <c r="B117" s="2">
        <f>IF($B$37=TRUE,IF(B79=TRUE,471,1024),0)</f>
        <v>0</v>
      </c>
      <c r="C117" s="2">
        <f>IF($B$37=TRUE,IF(C79=TRUE,529,1024),0)</f>
        <v>0</v>
      </c>
      <c r="D117" s="2">
        <f>IF($B$37=TRUE,IF(D79=TRUE,528,1024),0)</f>
        <v>0</v>
      </c>
      <c r="E117" s="2">
        <f>IF($B$37=TRUE,IF(E79=TRUE,528,1033),0)</f>
        <v>0</v>
      </c>
      <c r="F117" s="2">
        <f>IF($B$37=TRUE,IF(F79=TRUE,531,1039),0)</f>
        <v>0</v>
      </c>
      <c r="G117" s="2">
        <f>IF($B$37=TRUE,IF(G79=TRUE,533,1043),0)</f>
        <v>0</v>
      </c>
      <c r="H117" s="2">
        <f>IF($B$37=TRUE,IF(H79=TRUE,537,1052),0)</f>
        <v>0</v>
      </c>
      <c r="I117" s="2">
        <f>IF($B$37=TRUE,IF(I79=TRUE,0,0),0)</f>
        <v>0</v>
      </c>
      <c r="J117" s="2">
        <f>IF($B$37=TRUE,IF(J79=TRUE,0,0),0)</f>
        <v>0</v>
      </c>
      <c r="K117" s="2">
        <f>IF($B$37=TRUE,IF(K79=TRUE,0,0),0)</f>
        <v>0</v>
      </c>
      <c r="L117" s="2">
        <v>0</v>
      </c>
      <c r="M117" s="26">
        <v>0</v>
      </c>
      <c r="N117" s="2">
        <v>0</v>
      </c>
      <c r="O117" s="22">
        <v>0</v>
      </c>
    </row>
    <row r="118" spans="1:15" x14ac:dyDescent="0.15">
      <c r="A118" s="8" t="s">
        <v>57</v>
      </c>
      <c r="B118" s="2">
        <f>IF(B$79=TRUE,980,2133)</f>
        <v>2133</v>
      </c>
      <c r="C118" s="2">
        <f>IF(C$79=TRUE,1102,2133)</f>
        <v>2133</v>
      </c>
      <c r="D118" s="2">
        <f>IF(D$79=TRUE,1081,2133)</f>
        <v>2133</v>
      </c>
      <c r="E118" s="2">
        <f>IF(E$79=TRUE,1098,2152)</f>
        <v>2152</v>
      </c>
      <c r="F118" s="2">
        <f>IF(F$79=TRUE,1413,2769)</f>
        <v>2769</v>
      </c>
      <c r="G118" s="2">
        <f>IF(G$79=TRUE,1418,2778)</f>
        <v>2778</v>
      </c>
      <c r="H118" s="2">
        <f>IF(H$79=TRUE,1431,2801)</f>
        <v>2801</v>
      </c>
      <c r="I118" s="2">
        <f>IF(I79=TRUE,1452,2835)</f>
        <v>2835</v>
      </c>
      <c r="J118" s="2">
        <f>IF(J79=TRUE,1452,2881)</f>
        <v>2881</v>
      </c>
      <c r="K118" s="2">
        <f>IF(K79=TRUE,1452,2815)</f>
        <v>2815</v>
      </c>
      <c r="L118" s="2">
        <f>IF(L79=TRUE,1311,2534)</f>
        <v>2534</v>
      </c>
      <c r="M118" s="26">
        <f>IF(M79=TRUE,1394,2694)</f>
        <v>2694</v>
      </c>
      <c r="N118" s="2">
        <v>2950</v>
      </c>
      <c r="O118" s="22">
        <v>2986</v>
      </c>
    </row>
    <row r="119" spans="1:15" x14ac:dyDescent="0.15">
      <c r="A119" s="8"/>
      <c r="B119" s="2"/>
      <c r="C119" s="2"/>
      <c r="D119" s="20"/>
      <c r="E119" s="2"/>
      <c r="F119" s="22"/>
      <c r="G119" s="14"/>
      <c r="H119" s="14"/>
      <c r="I119" s="2"/>
      <c r="J119" s="2"/>
      <c r="K119" s="2"/>
      <c r="L119" s="2"/>
      <c r="M119" s="173"/>
      <c r="N119" s="2"/>
      <c r="O119" s="22"/>
    </row>
    <row r="120" spans="1:15" x14ac:dyDescent="0.15">
      <c r="A120" s="33" t="s">
        <v>94</v>
      </c>
      <c r="B120" s="33">
        <v>2012</v>
      </c>
      <c r="C120" s="33">
        <v>2013</v>
      </c>
      <c r="D120" s="33">
        <v>2014</v>
      </c>
      <c r="E120" s="33">
        <v>2015</v>
      </c>
      <c r="F120" s="33">
        <v>2016</v>
      </c>
      <c r="G120" s="33">
        <v>2017</v>
      </c>
      <c r="H120" s="33">
        <v>2018</v>
      </c>
      <c r="I120" s="33">
        <v>2019</v>
      </c>
      <c r="J120" s="33">
        <v>2020</v>
      </c>
      <c r="K120" s="33">
        <v>2021</v>
      </c>
      <c r="L120" s="33">
        <v>2022</v>
      </c>
      <c r="M120" s="171">
        <v>2023</v>
      </c>
      <c r="N120" s="33">
        <v>2024</v>
      </c>
      <c r="O120" s="33">
        <v>2025</v>
      </c>
    </row>
    <row r="121" spans="1:15" x14ac:dyDescent="0.15">
      <c r="A121" s="8" t="s">
        <v>95</v>
      </c>
      <c r="B121" s="13">
        <v>7.0999999999999994E-2</v>
      </c>
      <c r="C121" s="13">
        <v>7.7499999999999999E-2</v>
      </c>
      <c r="D121" s="13">
        <v>7.4999999999999997E-2</v>
      </c>
      <c r="E121" s="13">
        <v>6.9500000000000006E-2</v>
      </c>
      <c r="F121" s="13">
        <v>6.7500000000000004E-2</v>
      </c>
      <c r="G121" s="13">
        <v>6.6500000000000004E-2</v>
      </c>
      <c r="H121" s="13">
        <v>6.9000000000000006E-2</v>
      </c>
      <c r="I121" s="20">
        <v>6.9500000000000006E-2</v>
      </c>
      <c r="J121" s="20">
        <v>6.7000000000000004E-2</v>
      </c>
      <c r="K121" s="20">
        <v>7.0000000000000007E-2</v>
      </c>
      <c r="L121" s="20">
        <v>6.7500000000000004E-2</v>
      </c>
      <c r="M121" s="173">
        <v>6.6799999999999998E-2</v>
      </c>
      <c r="N121" s="185">
        <v>6.5699999999999995E-2</v>
      </c>
      <c r="O121" s="20">
        <v>6.5100000000000005E-2</v>
      </c>
    </row>
    <row r="122" spans="1:15" x14ac:dyDescent="0.15">
      <c r="A122" s="8" t="s">
        <v>96</v>
      </c>
      <c r="B122" s="38">
        <v>0.05</v>
      </c>
      <c r="C122" s="38">
        <v>5.6500000000000002E-2</v>
      </c>
      <c r="D122" s="38">
        <v>5.3999999999999999E-2</v>
      </c>
      <c r="E122" s="38">
        <v>4.8500000000000001E-2</v>
      </c>
      <c r="F122" s="13">
        <v>5.5E-2</v>
      </c>
      <c r="G122" s="13">
        <v>5.3999999999999999E-2</v>
      </c>
      <c r="H122" s="13">
        <v>5.6500000000000002E-2</v>
      </c>
      <c r="I122" s="20">
        <v>5.7000000000000002E-2</v>
      </c>
      <c r="J122" s="20">
        <v>5.45E-2</v>
      </c>
      <c r="K122" s="20">
        <v>5.7500000000000002E-2</v>
      </c>
      <c r="L122" s="20">
        <v>5.5E-2</v>
      </c>
      <c r="M122" s="173">
        <v>5.4300000000000001E-2</v>
      </c>
      <c r="N122" s="185">
        <v>5.3199999999999997E-2</v>
      </c>
      <c r="O122" s="20">
        <v>5.2600000000000001E-2</v>
      </c>
    </row>
    <row r="123" spans="1:15" x14ac:dyDescent="0.15">
      <c r="A123" s="8" t="s">
        <v>97</v>
      </c>
      <c r="B123" s="61">
        <v>50064</v>
      </c>
      <c r="C123" s="61">
        <v>50853</v>
      </c>
      <c r="D123" s="61">
        <v>51414</v>
      </c>
      <c r="E123" s="61">
        <v>51976</v>
      </c>
      <c r="F123" s="61">
        <v>52763</v>
      </c>
      <c r="G123" s="62">
        <v>53701</v>
      </c>
      <c r="H123" s="63">
        <v>54614</v>
      </c>
      <c r="I123" s="63">
        <v>55923</v>
      </c>
      <c r="J123" s="50">
        <v>57232</v>
      </c>
      <c r="K123" s="50">
        <v>58311</v>
      </c>
      <c r="L123" s="50">
        <v>59706</v>
      </c>
      <c r="M123" s="172">
        <v>66952</v>
      </c>
      <c r="N123" s="172">
        <v>71628</v>
      </c>
      <c r="O123" s="50">
        <v>75864</v>
      </c>
    </row>
    <row r="124" spans="1:15" x14ac:dyDescent="0.15">
      <c r="A124" s="8"/>
      <c r="B124" s="2"/>
      <c r="C124" s="2"/>
      <c r="D124" s="20"/>
      <c r="E124" s="2"/>
      <c r="F124" s="22"/>
      <c r="G124" s="14"/>
      <c r="H124" s="14"/>
      <c r="I124" s="2"/>
      <c r="J124" s="2"/>
      <c r="K124" s="2"/>
      <c r="L124" s="2"/>
      <c r="M124" s="173"/>
      <c r="N124" s="2"/>
      <c r="O124" s="22"/>
    </row>
    <row r="125" spans="1:15" x14ac:dyDescent="0.15">
      <c r="A125" s="9" t="s">
        <v>71</v>
      </c>
      <c r="B125" s="33">
        <v>2012</v>
      </c>
      <c r="C125" s="33">
        <v>2013</v>
      </c>
      <c r="D125" s="33">
        <v>2014</v>
      </c>
      <c r="E125" s="33">
        <v>2015</v>
      </c>
      <c r="F125" s="33">
        <v>2016</v>
      </c>
      <c r="G125" s="33">
        <v>2017</v>
      </c>
      <c r="H125" s="33">
        <v>2018</v>
      </c>
      <c r="I125" s="33">
        <v>2019</v>
      </c>
      <c r="J125" s="33">
        <v>2020</v>
      </c>
      <c r="K125" s="33">
        <v>2021</v>
      </c>
      <c r="L125" s="33">
        <v>2022</v>
      </c>
      <c r="M125" s="171">
        <v>2023</v>
      </c>
      <c r="N125" s="33">
        <v>2024</v>
      </c>
      <c r="O125" s="33">
        <v>2025</v>
      </c>
    </row>
    <row r="126" spans="1:15" x14ac:dyDescent="0.15">
      <c r="A126" s="8" t="s">
        <v>7</v>
      </c>
      <c r="B126" s="39">
        <v>0.12</v>
      </c>
      <c r="C126" s="39">
        <v>0.12</v>
      </c>
      <c r="D126" s="20">
        <v>0.109</v>
      </c>
      <c r="E126" s="13">
        <v>9.8000000000000004E-2</v>
      </c>
      <c r="F126" s="13">
        <v>9.8000000000000004E-2</v>
      </c>
      <c r="G126" s="13">
        <v>9.8000000000000004E-2</v>
      </c>
      <c r="H126" s="13">
        <v>9.4399999999999998E-2</v>
      </c>
      <c r="I126" s="13">
        <v>9.4399999999999998E-2</v>
      </c>
      <c r="J126" s="13">
        <f>I126</f>
        <v>9.4399999999999998E-2</v>
      </c>
      <c r="K126" s="13">
        <f t="shared" ref="K126:L126" si="2">J126</f>
        <v>9.4399999999999998E-2</v>
      </c>
      <c r="L126" s="154">
        <f t="shared" si="2"/>
        <v>9.4399999999999998E-2</v>
      </c>
      <c r="M126" s="181">
        <v>0</v>
      </c>
      <c r="N126" s="188">
        <f t="shared" ref="N126:N127" si="3">M126</f>
        <v>0</v>
      </c>
      <c r="O126" s="13">
        <f t="shared" ref="O126:O127" si="4">N126</f>
        <v>0</v>
      </c>
    </row>
    <row r="127" spans="1:15" x14ac:dyDescent="0.15">
      <c r="A127" s="8" t="s">
        <v>98</v>
      </c>
      <c r="B127" s="50">
        <v>9542</v>
      </c>
      <c r="C127" s="50">
        <v>9542</v>
      </c>
      <c r="D127" s="50">
        <v>9542</v>
      </c>
      <c r="E127" s="50">
        <v>8631</v>
      </c>
      <c r="F127" s="50">
        <v>8774</v>
      </c>
      <c r="G127" s="50">
        <v>8946</v>
      </c>
      <c r="H127" s="50">
        <v>8775</v>
      </c>
      <c r="I127" s="50">
        <v>8999</v>
      </c>
      <c r="J127" s="50">
        <v>9218</v>
      </c>
      <c r="K127" s="50">
        <v>9395</v>
      </c>
      <c r="L127" s="50">
        <v>9632</v>
      </c>
      <c r="M127" s="172">
        <v>0</v>
      </c>
      <c r="N127" s="189">
        <f t="shared" si="3"/>
        <v>0</v>
      </c>
      <c r="O127" s="50">
        <f t="shared" si="4"/>
        <v>0</v>
      </c>
    </row>
    <row r="128" spans="1:15" x14ac:dyDescent="0.15">
      <c r="A128" s="8"/>
      <c r="B128" s="2"/>
      <c r="C128" s="2"/>
      <c r="D128" s="2"/>
      <c r="E128" s="2"/>
      <c r="F128" s="2"/>
      <c r="G128" s="32"/>
      <c r="H128" s="32"/>
      <c r="I128" s="2"/>
      <c r="J128" s="2"/>
      <c r="K128" s="2"/>
      <c r="L128" s="2"/>
      <c r="M128" s="26"/>
      <c r="N128" s="2"/>
      <c r="O128" s="2"/>
    </row>
    <row r="129" spans="1:15" x14ac:dyDescent="0.15">
      <c r="A129" s="33"/>
      <c r="B129" s="33">
        <v>2012</v>
      </c>
      <c r="C129" s="33">
        <v>2013</v>
      </c>
      <c r="D129" s="33">
        <v>2014</v>
      </c>
      <c r="E129" s="33">
        <v>2015</v>
      </c>
      <c r="F129" s="33">
        <v>2016</v>
      </c>
      <c r="G129" s="33">
        <v>2017</v>
      </c>
      <c r="H129" s="33">
        <v>2018</v>
      </c>
      <c r="I129" s="33">
        <v>2019</v>
      </c>
      <c r="J129" s="33">
        <v>2020</v>
      </c>
      <c r="K129" s="33">
        <v>2021</v>
      </c>
      <c r="L129" s="33">
        <v>2022</v>
      </c>
      <c r="M129" s="171">
        <v>2023</v>
      </c>
      <c r="N129" s="33">
        <v>2024</v>
      </c>
      <c r="O129" s="33">
        <v>2025</v>
      </c>
    </row>
    <row r="130" spans="1:15" x14ac:dyDescent="0.15">
      <c r="A130" s="9" t="s">
        <v>9</v>
      </c>
      <c r="B130" s="2">
        <f t="shared" ref="B130:G130" si="5">IF($B$79,3640,7280)</f>
        <v>7280</v>
      </c>
      <c r="C130" s="2">
        <f t="shared" si="5"/>
        <v>7280</v>
      </c>
      <c r="D130" s="2">
        <f t="shared" si="5"/>
        <v>7280</v>
      </c>
      <c r="E130" s="2">
        <f t="shared" si="5"/>
        <v>7280</v>
      </c>
      <c r="F130" s="2">
        <f t="shared" si="5"/>
        <v>7280</v>
      </c>
      <c r="G130" s="2">
        <f t="shared" si="5"/>
        <v>7280</v>
      </c>
      <c r="H130" s="2">
        <f t="shared" ref="H130" si="6">IF(H$79,3640,7280)</f>
        <v>7280</v>
      </c>
      <c r="I130" s="2">
        <f>IF(I79,3640,7280)</f>
        <v>7280</v>
      </c>
      <c r="J130" s="2">
        <f>I130-250</f>
        <v>7030</v>
      </c>
      <c r="K130" s="2">
        <f>IF(K79,3335,6670)</f>
        <v>6670</v>
      </c>
      <c r="L130" s="2">
        <f>K130-360</f>
        <v>6310</v>
      </c>
      <c r="M130" s="26">
        <v>5030</v>
      </c>
      <c r="N130" s="186">
        <f>M130-1280</f>
        <v>3750</v>
      </c>
      <c r="O130" s="2">
        <v>2470</v>
      </c>
    </row>
    <row r="131" spans="1:15" x14ac:dyDescent="0.15">
      <c r="A131" s="9" t="s">
        <v>10</v>
      </c>
      <c r="B131" s="2">
        <f t="shared" ref="B131:G131" si="7">IF($B$79,1062,2123)</f>
        <v>2123</v>
      </c>
      <c r="C131" s="2">
        <f t="shared" si="7"/>
        <v>2123</v>
      </c>
      <c r="D131" s="2">
        <f t="shared" si="7"/>
        <v>2123</v>
      </c>
      <c r="E131" s="2">
        <f t="shared" si="7"/>
        <v>2123</v>
      </c>
      <c r="F131" s="2">
        <f t="shared" si="7"/>
        <v>2123</v>
      </c>
      <c r="G131" s="2">
        <f t="shared" si="7"/>
        <v>2123</v>
      </c>
      <c r="H131" s="2">
        <f t="shared" ref="H131" si="8">IF(H$79,1062,2123)</f>
        <v>2123</v>
      </c>
      <c r="I131" s="2">
        <f>IF(I79,1062,2123)</f>
        <v>2123</v>
      </c>
      <c r="J131" s="2">
        <f>IF(J79,1062,2123)</f>
        <v>2123</v>
      </c>
      <c r="K131" s="2">
        <f>IF(K79,1062,2123)</f>
        <v>2123</v>
      </c>
      <c r="L131" s="2">
        <f t="shared" ref="L131" si="9">IF(L79,1062,2123)</f>
        <v>2123</v>
      </c>
      <c r="M131" s="183">
        <v>2123</v>
      </c>
      <c r="N131" s="61">
        <f>N130*50%</f>
        <v>1875</v>
      </c>
      <c r="O131" s="10">
        <v>2123</v>
      </c>
    </row>
    <row r="132" spans="1:15" x14ac:dyDescent="0.15">
      <c r="A132" s="9" t="s">
        <v>99</v>
      </c>
      <c r="B132" s="2"/>
      <c r="C132" s="2"/>
      <c r="D132" s="20"/>
      <c r="E132" s="2"/>
      <c r="F132" s="22"/>
      <c r="G132" s="14"/>
      <c r="H132" s="14"/>
      <c r="I132" s="2"/>
      <c r="J132" s="2"/>
      <c r="K132" s="2"/>
      <c r="L132" s="2"/>
      <c r="M132" s="173"/>
      <c r="N132" s="2"/>
      <c r="O132" s="22"/>
    </row>
    <row r="133" spans="1:15" x14ac:dyDescent="0.15">
      <c r="A133" s="8"/>
      <c r="B133" s="2"/>
      <c r="C133" s="2"/>
      <c r="D133" s="20"/>
      <c r="E133" s="2"/>
      <c r="F133" s="22"/>
      <c r="G133" s="14"/>
      <c r="H133" s="14"/>
      <c r="I133" s="2"/>
      <c r="J133" s="2"/>
      <c r="K133" s="2"/>
      <c r="L133" s="2"/>
      <c r="M133" s="173"/>
      <c r="N133" s="2"/>
      <c r="O133" s="22"/>
    </row>
    <row r="134" spans="1:15" x14ac:dyDescent="0.15">
      <c r="A134" s="9" t="s">
        <v>12</v>
      </c>
      <c r="B134" s="33">
        <v>2012</v>
      </c>
      <c r="C134" s="33">
        <v>2013</v>
      </c>
      <c r="D134" s="33">
        <v>2014</v>
      </c>
      <c r="E134" s="33">
        <v>2015</v>
      </c>
      <c r="F134" s="33">
        <v>2016</v>
      </c>
      <c r="G134" s="33">
        <v>2017</v>
      </c>
      <c r="H134" s="33">
        <v>2018</v>
      </c>
      <c r="I134" s="33">
        <v>2019</v>
      </c>
      <c r="J134" s="33">
        <v>2020</v>
      </c>
      <c r="K134" s="33">
        <v>2021</v>
      </c>
      <c r="L134" s="33">
        <v>2022</v>
      </c>
      <c r="M134" s="171">
        <v>2023</v>
      </c>
      <c r="N134" s="33">
        <v>2024</v>
      </c>
      <c r="O134" s="33">
        <v>2025</v>
      </c>
    </row>
    <row r="135" spans="1:15" x14ac:dyDescent="0.15">
      <c r="A135" s="8"/>
      <c r="B135" s="19">
        <v>0.12</v>
      </c>
      <c r="C135" s="19">
        <v>0.14000000000000001</v>
      </c>
      <c r="D135" s="19">
        <v>0.14000000000000001</v>
      </c>
      <c r="E135" s="19">
        <v>0.14000000000000001</v>
      </c>
      <c r="F135" s="19">
        <v>0.14000000000000001</v>
      </c>
      <c r="G135" s="19">
        <v>0.14000000000000001</v>
      </c>
      <c r="H135" s="19">
        <v>0.14000000000000001</v>
      </c>
      <c r="I135" s="19">
        <v>0.14000000000000001</v>
      </c>
      <c r="J135" s="19">
        <v>0.14000000000000001</v>
      </c>
      <c r="K135" s="19">
        <v>0.14000000000000001</v>
      </c>
      <c r="L135" s="19">
        <v>0.14000000000000001</v>
      </c>
      <c r="M135" s="174">
        <v>0.14000000000000001</v>
      </c>
      <c r="N135" s="19">
        <v>0.1331</v>
      </c>
      <c r="O135" s="20">
        <v>0.127</v>
      </c>
    </row>
    <row r="136" spans="1:15" x14ac:dyDescent="0.15">
      <c r="A136" s="8"/>
      <c r="B136" s="2"/>
      <c r="C136" s="2"/>
      <c r="D136" s="2"/>
      <c r="E136" s="2"/>
      <c r="F136" s="2"/>
      <c r="G136" s="32"/>
      <c r="H136" s="32"/>
      <c r="I136" s="2"/>
      <c r="J136" s="2"/>
      <c r="K136" s="2"/>
      <c r="L136" s="2"/>
      <c r="M136" s="26"/>
      <c r="N136" s="2"/>
      <c r="O136" s="2"/>
    </row>
    <row r="137" spans="1:15" x14ac:dyDescent="0.15">
      <c r="A137" s="9" t="s">
        <v>6</v>
      </c>
      <c r="B137" s="33">
        <v>2012</v>
      </c>
      <c r="C137" s="33">
        <v>2013</v>
      </c>
      <c r="D137" s="33">
        <v>2014</v>
      </c>
      <c r="E137" s="33">
        <v>2015</v>
      </c>
      <c r="F137" s="33">
        <v>2016</v>
      </c>
      <c r="G137" s="33">
        <v>2017</v>
      </c>
      <c r="H137" s="33">
        <v>2018</v>
      </c>
      <c r="I137" s="33">
        <v>2019</v>
      </c>
      <c r="J137" s="33">
        <v>2020</v>
      </c>
      <c r="K137" s="33">
        <v>2021</v>
      </c>
      <c r="L137" s="33">
        <v>2022</v>
      </c>
      <c r="M137" s="171">
        <v>2023</v>
      </c>
      <c r="N137" s="33">
        <v>2024</v>
      </c>
      <c r="O137" s="33">
        <v>2025</v>
      </c>
    </row>
    <row r="138" spans="1:15" x14ac:dyDescent="0.15">
      <c r="A138" s="8" t="s">
        <v>100</v>
      </c>
      <c r="B138" s="64">
        <v>1040000</v>
      </c>
      <c r="C138" s="64">
        <v>1040000</v>
      </c>
      <c r="D138" s="64">
        <v>1040000</v>
      </c>
      <c r="E138" s="64">
        <v>1050000</v>
      </c>
      <c r="F138" s="64">
        <v>1050000</v>
      </c>
      <c r="G138" s="64">
        <v>1060000</v>
      </c>
      <c r="H138" s="64">
        <v>1060000</v>
      </c>
      <c r="I138" s="64">
        <v>1080000</v>
      </c>
      <c r="J138" s="64">
        <v>1090000</v>
      </c>
      <c r="K138" s="64">
        <v>1110000</v>
      </c>
      <c r="L138" s="64">
        <v>1130000</v>
      </c>
      <c r="M138" s="184">
        <v>1200000</v>
      </c>
      <c r="N138" s="187">
        <v>1310000</v>
      </c>
      <c r="O138" s="64">
        <v>1330000</v>
      </c>
    </row>
    <row r="139" spans="1:15" x14ac:dyDescent="0.15">
      <c r="A139" s="8">
        <v>12500</v>
      </c>
      <c r="B139" s="20">
        <v>2E-3</v>
      </c>
      <c r="C139" s="20">
        <v>2E-3</v>
      </c>
      <c r="D139" s="20">
        <v>2.5000000000000001E-3</v>
      </c>
      <c r="E139" s="20">
        <v>3.0000000000000001E-3</v>
      </c>
      <c r="F139" s="20">
        <v>3.0000000000000001E-3</v>
      </c>
      <c r="G139" s="20">
        <v>3.0000000000000001E-3</v>
      </c>
      <c r="H139" s="20">
        <v>2.5000000000000001E-3</v>
      </c>
      <c r="I139" s="20">
        <v>2.5000000000000001E-3</v>
      </c>
      <c r="J139" s="20">
        <v>2E-3</v>
      </c>
      <c r="K139" s="20">
        <v>2E-3</v>
      </c>
      <c r="L139" s="20">
        <v>1.5E-3</v>
      </c>
      <c r="M139" s="173">
        <v>1E-3</v>
      </c>
      <c r="N139" s="2">
        <v>1E-3</v>
      </c>
      <c r="O139" s="2">
        <v>1E-3</v>
      </c>
    </row>
    <row r="140" spans="1:15" x14ac:dyDescent="0.15">
      <c r="A140" s="8">
        <v>25000</v>
      </c>
      <c r="B140" s="65">
        <v>3.5000000000000001E-3</v>
      </c>
      <c r="C140" s="65">
        <v>3.5000000000000001E-3</v>
      </c>
      <c r="D140" s="65">
        <v>4.0000000000000001E-3</v>
      </c>
      <c r="E140" s="65">
        <v>4.4999999999999997E-3</v>
      </c>
      <c r="F140" s="65">
        <v>4.4999999999999997E-3</v>
      </c>
      <c r="G140" s="65">
        <v>4.4999999999999997E-3</v>
      </c>
      <c r="H140" s="65">
        <v>4.0000000000000001E-3</v>
      </c>
      <c r="I140" s="48">
        <v>3.5000000000000001E-3</v>
      </c>
      <c r="J140" s="48">
        <v>3.5000000000000001E-3</v>
      </c>
      <c r="K140" s="48">
        <v>3.0000000000000001E-3</v>
      </c>
      <c r="L140" s="48">
        <v>2.5000000000000001E-3</v>
      </c>
      <c r="M140" s="48">
        <v>2E-3</v>
      </c>
      <c r="N140" s="61">
        <v>2E-3</v>
      </c>
      <c r="O140" s="61">
        <v>2E-3</v>
      </c>
    </row>
    <row r="141" spans="1:15" x14ac:dyDescent="0.15">
      <c r="A141" s="8">
        <v>50000</v>
      </c>
      <c r="B141" s="20">
        <v>4.4999999999999997E-3</v>
      </c>
      <c r="C141" s="20">
        <v>4.4999999999999997E-3</v>
      </c>
      <c r="D141" s="20">
        <v>5.4999999999999997E-3</v>
      </c>
      <c r="E141" s="20">
        <v>6.0000000000000001E-3</v>
      </c>
      <c r="F141" s="20">
        <v>6.0000000000000001E-3</v>
      </c>
      <c r="G141" s="20">
        <v>6.0000000000000001E-3</v>
      </c>
      <c r="H141" s="20">
        <v>5.4999999999999997E-3</v>
      </c>
      <c r="I141" s="48">
        <v>5.0000000000000001E-3</v>
      </c>
      <c r="J141" s="48">
        <v>4.4999999999999997E-3</v>
      </c>
      <c r="K141" s="48">
        <v>4.0000000000000001E-3</v>
      </c>
      <c r="L141" s="48">
        <v>3.5000000000000001E-3</v>
      </c>
      <c r="M141" s="48">
        <v>2.5000000000000001E-3</v>
      </c>
      <c r="N141" s="2">
        <v>2.5000000000000001E-3</v>
      </c>
      <c r="O141" s="22">
        <v>2.5000000000000001E-3</v>
      </c>
    </row>
    <row r="142" spans="1:15" x14ac:dyDescent="0.15">
      <c r="A142" s="8">
        <v>75000</v>
      </c>
      <c r="B142" s="20">
        <v>6.0000000000000001E-3</v>
      </c>
      <c r="C142" s="20">
        <v>6.0000000000000001E-3</v>
      </c>
      <c r="D142" s="20">
        <v>7.0000000000000001E-3</v>
      </c>
      <c r="E142" s="20">
        <v>7.4999999999999997E-3</v>
      </c>
      <c r="F142" s="20">
        <v>7.4999999999999997E-3</v>
      </c>
      <c r="G142" s="20">
        <v>7.4999999999999997E-3</v>
      </c>
      <c r="H142" s="20">
        <v>7.0000000000000001E-3</v>
      </c>
      <c r="I142" s="48">
        <v>6.4999999999999997E-3</v>
      </c>
      <c r="J142" s="48">
        <v>6.0000000000000001E-3</v>
      </c>
      <c r="K142" s="48">
        <v>5.0000000000000001E-3</v>
      </c>
      <c r="L142" s="48">
        <v>4.4999999999999997E-3</v>
      </c>
      <c r="M142" s="48">
        <v>3.5000000000000001E-3</v>
      </c>
      <c r="N142" s="2">
        <v>3.5000000000000001E-3</v>
      </c>
      <c r="O142" s="22">
        <v>3.5000000000000001E-3</v>
      </c>
    </row>
    <row r="143" spans="1:15" x14ac:dyDescent="0.15">
      <c r="A143" s="8">
        <f>LOOKUP(A1,B137:O137,B138:O138)</f>
        <v>1330000</v>
      </c>
      <c r="B143" s="20">
        <v>1.2999999999999999E-2</v>
      </c>
      <c r="C143" s="20">
        <v>1.55E-2</v>
      </c>
      <c r="D143" s="20">
        <v>1.7999999999999999E-2</v>
      </c>
      <c r="E143" s="20">
        <v>2.0500000000000001E-2</v>
      </c>
      <c r="F143" s="20">
        <v>2.35E-2</v>
      </c>
      <c r="G143" s="20">
        <v>2.35E-2</v>
      </c>
      <c r="H143" s="20">
        <v>2.35E-2</v>
      </c>
      <c r="I143" s="48">
        <v>2.35E-2</v>
      </c>
      <c r="J143" s="48">
        <v>2.35E-2</v>
      </c>
      <c r="K143" s="48">
        <v>2.35E-2</v>
      </c>
      <c r="L143" s="48">
        <v>2.35E-2</v>
      </c>
      <c r="M143" s="48">
        <v>2.35E-2</v>
      </c>
      <c r="N143" s="2">
        <v>2.35E-2</v>
      </c>
      <c r="O143" s="22">
        <v>2.35E-2</v>
      </c>
    </row>
    <row r="144" spans="1:15" x14ac:dyDescent="0.15">
      <c r="A144" s="8" t="s">
        <v>102</v>
      </c>
      <c r="B144" s="19">
        <v>1</v>
      </c>
      <c r="C144" s="19">
        <v>1</v>
      </c>
      <c r="D144" s="19">
        <v>1</v>
      </c>
      <c r="E144" s="19">
        <v>1</v>
      </c>
      <c r="F144" s="19">
        <v>1</v>
      </c>
      <c r="G144" s="19">
        <v>1</v>
      </c>
      <c r="H144" s="19">
        <v>1</v>
      </c>
      <c r="I144" s="20">
        <f>H144-(1/30)</f>
        <v>0.96666666666666667</v>
      </c>
      <c r="J144" s="20">
        <f t="shared" ref="J144:O144" si="10">I144-(1/30)</f>
        <v>0.93333333333333335</v>
      </c>
      <c r="K144" s="20">
        <f t="shared" si="10"/>
        <v>0.9</v>
      </c>
      <c r="L144" s="20">
        <f t="shared" si="10"/>
        <v>0.8666666666666667</v>
      </c>
      <c r="M144" s="173">
        <f t="shared" si="10"/>
        <v>0.83333333333333337</v>
      </c>
      <c r="N144" s="20">
        <f t="shared" si="10"/>
        <v>0.8</v>
      </c>
      <c r="O144" s="20">
        <f t="shared" si="10"/>
        <v>0.76666666666666672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DC1E-5E1E-42B1-939D-691BAC3A2DF0}">
  <sheetPr codeName="Blad2">
    <pageSetUpPr autoPageBreaks="0"/>
  </sheetPr>
  <dimension ref="A1:O144"/>
  <sheetViews>
    <sheetView showGridLines="0" showRowColHeaders="0" zoomScale="62" workbookViewId="0"/>
  </sheetViews>
  <sheetFormatPr defaultColWidth="0.140625" defaultRowHeight="11.25" x14ac:dyDescent="0.15"/>
  <cols>
    <col min="1" max="1" width="36"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00">
        <f>'1'!E5</f>
        <v>2025</v>
      </c>
      <c r="B1" s="2" t="s">
        <v>44</v>
      </c>
      <c r="C1" s="2"/>
      <c r="D1" s="3">
        <f ca="1">D12-D24-D32-D35</f>
        <v>0</v>
      </c>
      <c r="E1" s="2"/>
      <c r="F1" s="4"/>
      <c r="G1" s="2"/>
      <c r="H1" s="2"/>
      <c r="I1" s="5"/>
      <c r="J1" s="2"/>
      <c r="K1" s="2"/>
      <c r="L1" s="2"/>
      <c r="M1" s="2"/>
      <c r="N1" s="2"/>
      <c r="O1" s="2"/>
    </row>
    <row r="2" spans="1:15" ht="15" x14ac:dyDescent="0.15">
      <c r="A2" s="201">
        <f>'1'!E131</f>
        <v>0</v>
      </c>
      <c r="B2" s="2" t="s">
        <v>101</v>
      </c>
      <c r="C2" s="2"/>
      <c r="D2" s="3"/>
      <c r="E2" s="2"/>
      <c r="F2" s="2"/>
      <c r="G2" s="2"/>
      <c r="H2" s="2"/>
      <c r="I2" s="5"/>
      <c r="J2" s="2"/>
      <c r="K2" s="2"/>
      <c r="L2" s="2"/>
      <c r="M2" s="2"/>
      <c r="N2" s="2"/>
      <c r="O2" s="2"/>
    </row>
    <row r="3" spans="1:15" x14ac:dyDescent="0.15">
      <c r="A3" s="202">
        <f>'1'!E130</f>
        <v>0</v>
      </c>
      <c r="B3" s="2" t="s">
        <v>42</v>
      </c>
      <c r="C3" s="2"/>
      <c r="D3" s="2"/>
      <c r="E3" s="2"/>
      <c r="F3" s="6"/>
      <c r="G3" s="2"/>
      <c r="H3" s="2"/>
      <c r="I3" s="2"/>
      <c r="J3" s="2"/>
      <c r="K3" s="2"/>
      <c r="L3" s="2"/>
      <c r="M3" s="2"/>
      <c r="N3" s="2"/>
      <c r="O3" s="2"/>
    </row>
    <row r="4" spans="1:15" x14ac:dyDescent="0.15">
      <c r="A4" s="203">
        <f>'1'!E10</f>
        <v>36526</v>
      </c>
      <c r="B4" s="2" t="s">
        <v>45</v>
      </c>
      <c r="C4" s="2"/>
      <c r="D4" s="2"/>
      <c r="E4" s="2"/>
      <c r="F4" s="7"/>
      <c r="G4" s="2"/>
      <c r="H4" s="2"/>
      <c r="I4" s="2"/>
      <c r="J4" s="2"/>
      <c r="K4" s="2"/>
      <c r="L4" s="2"/>
      <c r="M4" s="2"/>
      <c r="N4" s="2"/>
      <c r="O4" s="2"/>
    </row>
    <row r="5" spans="1:15" x14ac:dyDescent="0.15">
      <c r="A5" s="8"/>
      <c r="B5" s="2"/>
      <c r="C5" s="2"/>
      <c r="D5" s="2"/>
      <c r="E5" s="2"/>
      <c r="F5" s="4"/>
      <c r="G5" s="2"/>
      <c r="H5" s="2"/>
      <c r="I5" s="2"/>
      <c r="J5" s="2"/>
      <c r="K5" s="2"/>
      <c r="L5" s="2"/>
      <c r="M5" s="2"/>
      <c r="N5" s="2"/>
      <c r="O5" s="2"/>
    </row>
    <row r="6" spans="1:15" x14ac:dyDescent="0.15">
      <c r="A6" s="9" t="s">
        <v>46</v>
      </c>
      <c r="B6" s="2"/>
      <c r="C6" s="2"/>
      <c r="D6" s="2"/>
      <c r="E6" s="2"/>
      <c r="F6" s="4"/>
      <c r="G6" s="2"/>
      <c r="H6" s="2"/>
      <c r="I6" s="2"/>
      <c r="J6" s="2"/>
      <c r="K6" s="2"/>
      <c r="L6" s="2"/>
      <c r="M6" s="2"/>
      <c r="N6" s="2"/>
      <c r="O6" s="2"/>
    </row>
    <row r="7" spans="1:15" x14ac:dyDescent="0.15">
      <c r="A7" s="9" t="s">
        <v>47</v>
      </c>
      <c r="B7" s="10" t="s">
        <v>48</v>
      </c>
      <c r="C7" s="10" t="s">
        <v>49</v>
      </c>
      <c r="D7" s="11" t="s">
        <v>50</v>
      </c>
      <c r="E7" s="2"/>
      <c r="F7" s="12"/>
      <c r="G7" s="10"/>
      <c r="H7" s="10"/>
      <c r="I7" s="11"/>
      <c r="J7" s="2"/>
      <c r="K7" s="2"/>
      <c r="L7" s="2"/>
      <c r="M7" s="2"/>
      <c r="N7" s="2"/>
      <c r="O7" s="2"/>
    </row>
    <row r="8" spans="1:15" x14ac:dyDescent="0.15">
      <c r="A8" s="8" t="s">
        <v>51</v>
      </c>
      <c r="B8" s="2">
        <f>LOOKUP($A$1,$B$73:$O$73,B74:O74)</f>
        <v>26288</v>
      </c>
      <c r="C8" s="13">
        <f ca="1">LOOKUP($A$1,$B$73:$O$73,B80:G80)</f>
        <v>0.35820000000000002</v>
      </c>
      <c r="D8" s="14">
        <f ca="1">IF($A$3&gt;$B8,$B8*$C8,$A$3*$C8)</f>
        <v>0</v>
      </c>
      <c r="E8" s="2"/>
      <c r="F8" s="15"/>
      <c r="G8" s="2"/>
      <c r="H8" s="13"/>
      <c r="I8" s="14"/>
      <c r="J8" s="2"/>
      <c r="K8" s="2"/>
      <c r="L8" s="2"/>
      <c r="M8" s="2"/>
      <c r="N8" s="2"/>
      <c r="O8" s="2"/>
    </row>
    <row r="9" spans="1:15" x14ac:dyDescent="0.15">
      <c r="A9" s="8" t="s">
        <v>52</v>
      </c>
      <c r="B9" s="2">
        <f>LOOKUP($A$1,$B$73:$O$73,B75:O75)</f>
        <v>38441</v>
      </c>
      <c r="C9" s="13">
        <f ca="1">LOOKUP($A$1,$B$73:$O$73,B81:G81)</f>
        <v>0.35820000000000002</v>
      </c>
      <c r="D9" s="14">
        <f ca="1">MAX(IF($A$3&gt;$B9,($B9-$B8)*$C9,($A$3-$B8)*$C9),0)</f>
        <v>0</v>
      </c>
      <c r="E9" s="2"/>
      <c r="F9" s="15"/>
      <c r="G9" s="2"/>
      <c r="H9" s="13"/>
      <c r="I9" s="14"/>
      <c r="J9" s="2"/>
      <c r="K9" s="2"/>
      <c r="L9" s="2"/>
      <c r="M9" s="2"/>
      <c r="N9" s="2"/>
      <c r="O9" s="2"/>
    </row>
    <row r="10" spans="1:15" x14ac:dyDescent="0.15">
      <c r="A10" s="8" t="s">
        <v>53</v>
      </c>
      <c r="B10" s="2">
        <f>LOOKUP($A$1,$B$73:$O$73,B76:O76)</f>
        <v>76817</v>
      </c>
      <c r="C10" s="13">
        <f ca="1">LOOKUP($A$1,$B$73:$O$73,B82:G82)</f>
        <v>0.37480000000000002</v>
      </c>
      <c r="D10" s="14">
        <f ca="1">MAX(IF($A$3&gt;$B10,($B10-$B9)*$C10,($A$3-$B9)*$C10),0)</f>
        <v>0</v>
      </c>
      <c r="E10" s="2"/>
      <c r="F10" s="15"/>
      <c r="G10" s="2"/>
      <c r="H10" s="13"/>
      <c r="I10" s="14"/>
      <c r="J10" s="2"/>
      <c r="K10" s="2"/>
      <c r="L10" s="2"/>
      <c r="M10" s="2"/>
      <c r="N10" s="2"/>
      <c r="O10" s="2"/>
    </row>
    <row r="11" spans="1:15" x14ac:dyDescent="0.15">
      <c r="A11" s="8" t="s">
        <v>54</v>
      </c>
      <c r="B11" s="16">
        <v>1E+100</v>
      </c>
      <c r="C11" s="13">
        <f ca="1">LOOKUP($A$1,$B$73:$O$73,B83:G83)</f>
        <v>0.495</v>
      </c>
      <c r="D11" s="14">
        <f ca="1">MAX(IF($A$3&gt;$B11,($B11-$B10)*$C11,($A$3-$B10)*$C11),0)</f>
        <v>0</v>
      </c>
      <c r="E11" s="2"/>
      <c r="F11" s="15"/>
      <c r="G11" s="16"/>
      <c r="H11" s="13"/>
      <c r="I11" s="14"/>
      <c r="J11" s="2"/>
      <c r="K11" s="2"/>
      <c r="L11" s="2"/>
      <c r="M11" s="2"/>
      <c r="N11" s="2"/>
      <c r="O11" s="2"/>
    </row>
    <row r="12" spans="1:15" ht="15" x14ac:dyDescent="0.15">
      <c r="A12" s="8"/>
      <c r="B12" s="2"/>
      <c r="C12" s="2"/>
      <c r="D12" s="17">
        <f ca="1">ROUNDDOWN(SUM(D8:D11),0)</f>
        <v>0</v>
      </c>
      <c r="E12" s="2"/>
      <c r="F12" s="15"/>
      <c r="G12" s="2"/>
      <c r="H12" s="2"/>
      <c r="I12" s="18"/>
      <c r="J12" s="2"/>
      <c r="K12" s="2"/>
      <c r="L12" s="2"/>
      <c r="M12" s="2"/>
      <c r="N12" s="2"/>
      <c r="O12" s="2"/>
    </row>
    <row r="13" spans="1:15" ht="15" x14ac:dyDescent="0.15">
      <c r="A13" s="8"/>
      <c r="B13" s="2"/>
      <c r="C13" s="2"/>
      <c r="D13" s="18"/>
      <c r="E13" s="2"/>
      <c r="F13" s="8"/>
      <c r="G13" s="2"/>
      <c r="H13" s="2"/>
      <c r="I13" s="18"/>
      <c r="J13" s="2"/>
      <c r="K13" s="2"/>
      <c r="L13" s="2"/>
      <c r="M13" s="2"/>
      <c r="N13" s="2"/>
      <c r="O13" s="2"/>
    </row>
    <row r="14" spans="1:15" ht="15" x14ac:dyDescent="0.15">
      <c r="A14" s="9" t="s">
        <v>55</v>
      </c>
      <c r="B14" s="14">
        <f>A2-D19</f>
        <v>0</v>
      </c>
      <c r="C14" s="2"/>
      <c r="D14" s="41">
        <f>ROUNDDOWN(SUM(D15:D16),0)</f>
        <v>0</v>
      </c>
      <c r="E14" s="2"/>
      <c r="F14" s="8"/>
      <c r="G14" s="2"/>
      <c r="H14" s="2"/>
      <c r="I14" s="18"/>
      <c r="J14" s="2"/>
      <c r="K14" s="2"/>
      <c r="L14" s="2"/>
      <c r="M14" s="2"/>
      <c r="N14" s="2"/>
      <c r="O14" s="2"/>
    </row>
    <row r="15" spans="1:15" ht="15" x14ac:dyDescent="0.15">
      <c r="A15" s="9"/>
      <c r="B15" s="2">
        <v>250000</v>
      </c>
      <c r="C15" s="36">
        <f>LOOKUP(A1,B73:O73,B85:O85)</f>
        <v>0.31</v>
      </c>
      <c r="D15" s="2">
        <f>IF(B14&gt;B15,B15*C15,B14*C15)</f>
        <v>0</v>
      </c>
      <c r="E15" s="2"/>
      <c r="F15" s="8"/>
      <c r="G15" s="2"/>
      <c r="H15" s="2"/>
      <c r="I15" s="18"/>
      <c r="J15" s="2"/>
      <c r="K15" s="2"/>
      <c r="L15" s="2"/>
      <c r="M15" s="2"/>
      <c r="N15" s="2"/>
      <c r="O15" s="2"/>
    </row>
    <row r="16" spans="1:15" ht="15" x14ac:dyDescent="0.15">
      <c r="A16" s="2"/>
      <c r="B16" s="2"/>
      <c r="C16" s="19">
        <f>MAX(C15,0.25)</f>
        <v>0.31</v>
      </c>
      <c r="D16" s="2">
        <f>IF(B14&gt;B15,(B14-B15)*C16,0)</f>
        <v>0</v>
      </c>
      <c r="E16" s="2"/>
      <c r="F16" s="8"/>
      <c r="G16" s="2"/>
      <c r="H16" s="2"/>
      <c r="I16" s="18"/>
      <c r="J16" s="2"/>
      <c r="K16" s="2"/>
      <c r="L16" s="2"/>
      <c r="M16" s="2"/>
      <c r="N16" s="2"/>
      <c r="O16" s="2"/>
    </row>
    <row r="17" spans="1:15" ht="15" x14ac:dyDescent="0.15">
      <c r="A17" s="8"/>
      <c r="B17" s="2"/>
      <c r="C17" s="2"/>
      <c r="D17" s="18"/>
      <c r="E17" s="2"/>
      <c r="F17" s="8"/>
      <c r="G17" s="2"/>
      <c r="H17" s="2"/>
      <c r="I17" s="18"/>
      <c r="J17" s="2"/>
      <c r="K17" s="2"/>
      <c r="L17" s="2"/>
      <c r="M17" s="2"/>
      <c r="N17" s="2"/>
      <c r="O17" s="2"/>
    </row>
    <row r="18" spans="1:15" ht="15" x14ac:dyDescent="0.15">
      <c r="A18" s="9" t="s">
        <v>8</v>
      </c>
      <c r="B18" s="2"/>
      <c r="C18" s="2"/>
      <c r="D18" s="18"/>
      <c r="E18" s="2"/>
      <c r="F18" s="8"/>
      <c r="G18" s="2"/>
      <c r="H18" s="2"/>
      <c r="I18" s="18"/>
      <c r="J18" s="2"/>
      <c r="K18" s="2"/>
      <c r="L18" s="2"/>
      <c r="M18" s="2"/>
      <c r="N18" s="2"/>
      <c r="O18" s="2"/>
    </row>
    <row r="19" spans="1:15" ht="15" x14ac:dyDescent="0.15">
      <c r="A19" s="201">
        <f>'1'!E131</f>
        <v>0</v>
      </c>
      <c r="B19" s="2">
        <f>LOOKUP(A1,B87:O87,B88:O88)</f>
        <v>200000</v>
      </c>
      <c r="C19" s="19">
        <f>LOOKUP(A1,B87:O87,B89:O89)</f>
        <v>0.19</v>
      </c>
      <c r="D19" s="17">
        <f>IF(A19&lt;B19,A19*C19,(B19*C19)+((A19-B19)*C20))</f>
        <v>0</v>
      </c>
      <c r="E19" s="2"/>
      <c r="F19" s="8"/>
      <c r="G19" s="2"/>
      <c r="H19" s="2"/>
      <c r="I19" s="18"/>
      <c r="J19" s="2"/>
      <c r="K19" s="2"/>
      <c r="L19" s="2"/>
      <c r="M19" s="2"/>
      <c r="N19" s="2"/>
      <c r="O19" s="2"/>
    </row>
    <row r="20" spans="1:15" ht="15" x14ac:dyDescent="0.15">
      <c r="A20" s="8"/>
      <c r="B20" s="2"/>
      <c r="C20" s="19">
        <f>LOOKUP(A1,B87:O87,B90:O90)</f>
        <v>0.25800000000000001</v>
      </c>
      <c r="D20" s="18"/>
      <c r="E20" s="2"/>
      <c r="F20" s="8"/>
      <c r="G20" s="2"/>
      <c r="H20" s="2"/>
      <c r="I20" s="18"/>
      <c r="J20" s="2"/>
      <c r="K20" s="2"/>
      <c r="L20" s="2"/>
      <c r="M20" s="2"/>
      <c r="N20" s="2"/>
      <c r="O20" s="2"/>
    </row>
    <row r="21" spans="1:15" x14ac:dyDescent="0.15">
      <c r="A21" s="9" t="s">
        <v>56</v>
      </c>
      <c r="B21" s="2"/>
      <c r="C21" s="2"/>
      <c r="D21" s="2"/>
      <c r="E21" s="2"/>
      <c r="F21" s="8"/>
      <c r="G21" s="2"/>
      <c r="H21" s="2"/>
      <c r="I21" s="2"/>
      <c r="J21" s="2"/>
      <c r="K21" s="2"/>
      <c r="L21" s="2"/>
      <c r="M21" s="2"/>
      <c r="N21" s="2"/>
      <c r="O21" s="2"/>
    </row>
    <row r="22" spans="1:15" x14ac:dyDescent="0.15">
      <c r="A22" s="9" t="s">
        <v>57</v>
      </c>
      <c r="B22" s="10">
        <f>LOOKUP(A1,B73:O73,B92:O92)</f>
        <v>3068</v>
      </c>
      <c r="C22" s="10"/>
      <c r="D22" s="11"/>
      <c r="E22" s="2"/>
      <c r="F22" s="9"/>
      <c r="G22" s="10"/>
      <c r="H22" s="10"/>
      <c r="I22" s="11"/>
      <c r="J22" s="2"/>
      <c r="K22" s="2"/>
      <c r="L22" s="2"/>
      <c r="M22" s="2"/>
      <c r="N22" s="2"/>
      <c r="O22" s="2"/>
    </row>
    <row r="23" spans="1:15" x14ac:dyDescent="0.15">
      <c r="A23" s="8" t="s">
        <v>58</v>
      </c>
      <c r="B23" s="2">
        <f>LOOKUP(A1,B73:O73,B94:O94)</f>
        <v>0</v>
      </c>
      <c r="C23" s="2"/>
      <c r="D23" s="14"/>
      <c r="E23" s="2"/>
      <c r="F23" s="8"/>
      <c r="G23" s="2"/>
      <c r="H23" s="2"/>
      <c r="I23" s="14"/>
      <c r="J23" s="2"/>
      <c r="K23" s="2"/>
      <c r="L23" s="2"/>
      <c r="M23" s="2"/>
      <c r="N23" s="2"/>
      <c r="O23" s="2"/>
    </row>
    <row r="24" spans="1:15" ht="15" x14ac:dyDescent="0.15">
      <c r="A24" s="8" t="s">
        <v>59</v>
      </c>
      <c r="B24" s="2">
        <f>LOOKUP($A$1,$B$73:$O$73,B74:O74)</f>
        <v>26288</v>
      </c>
      <c r="C24" s="2">
        <f>LOOKUP($A$1,$B$73:$O$73,B93:O93)</f>
        <v>6.3369999999999996E-2</v>
      </c>
      <c r="D24" s="17">
        <f ca="1">MIN(MAX(IF(A3&gt;B24,B22-((A3-B24)*C24),B22),B23),D12)</f>
        <v>0</v>
      </c>
      <c r="E24" s="2"/>
      <c r="F24" s="8"/>
      <c r="G24" s="2"/>
      <c r="H24" s="2"/>
      <c r="I24" s="18"/>
      <c r="J24" s="2"/>
      <c r="K24" s="2"/>
      <c r="L24" s="2"/>
      <c r="M24" s="2"/>
      <c r="N24" s="2"/>
      <c r="O24" s="2"/>
    </row>
    <row r="25" spans="1:15" x14ac:dyDescent="0.15">
      <c r="A25" s="8"/>
      <c r="B25" s="2"/>
      <c r="C25" s="2"/>
      <c r="D25" s="20"/>
      <c r="E25" s="2"/>
      <c r="F25" s="21"/>
      <c r="G25" s="14"/>
      <c r="H25" s="14"/>
      <c r="I25" s="2"/>
      <c r="J25" s="2"/>
      <c r="K25" s="2"/>
      <c r="L25" s="2"/>
      <c r="M25" s="20"/>
      <c r="N25" s="2"/>
      <c r="O25" s="22"/>
    </row>
    <row r="26" spans="1:15" x14ac:dyDescent="0.15">
      <c r="A26" s="8"/>
      <c r="B26" s="2"/>
      <c r="C26" s="2"/>
      <c r="D26" s="20"/>
      <c r="E26" s="2"/>
      <c r="F26" s="21"/>
      <c r="G26" s="14"/>
      <c r="H26" s="14"/>
      <c r="I26" s="2"/>
      <c r="J26" s="2"/>
      <c r="K26" s="2"/>
      <c r="L26" s="2"/>
      <c r="M26" s="20"/>
      <c r="N26" s="2"/>
      <c r="O26" s="22"/>
    </row>
    <row r="27" spans="1:15" x14ac:dyDescent="0.15">
      <c r="A27" s="9" t="s">
        <v>60</v>
      </c>
      <c r="B27" s="14">
        <f>'1'!E130</f>
        <v>0</v>
      </c>
      <c r="C27" s="2"/>
      <c r="D27" s="2"/>
      <c r="E27" s="2"/>
      <c r="F27" s="15"/>
      <c r="G27" s="2"/>
      <c r="H27" s="2"/>
      <c r="I27" s="2"/>
      <c r="J27" s="2"/>
      <c r="K27" s="2"/>
      <c r="L27" s="2"/>
      <c r="M27" s="2"/>
      <c r="N27" s="2"/>
      <c r="O27" s="2"/>
    </row>
    <row r="28" spans="1:15" x14ac:dyDescent="0.15">
      <c r="A28" s="8" t="s">
        <v>51</v>
      </c>
      <c r="B28" s="2">
        <f>LOOKUP($A$1,$B$96:$O$96,B97:O97)</f>
        <v>12169</v>
      </c>
      <c r="C28" s="2">
        <f>LOOKUP($A$1,$B$96:$O$96,B102:O102)</f>
        <v>8.0530000000000004E-2</v>
      </c>
      <c r="D28" s="14">
        <f>IF(B27&gt;$B28,$B28*$C28,B27*$C28)</f>
        <v>0</v>
      </c>
      <c r="E28" s="2"/>
      <c r="F28" s="15"/>
      <c r="G28" s="2"/>
      <c r="H28" s="2"/>
      <c r="I28" s="14"/>
      <c r="J28" s="2"/>
      <c r="K28" s="2"/>
      <c r="L28" s="2"/>
      <c r="M28" s="2"/>
      <c r="N28" s="2"/>
      <c r="O28" s="2"/>
    </row>
    <row r="29" spans="1:15" x14ac:dyDescent="0.15">
      <c r="A29" s="8" t="s">
        <v>52</v>
      </c>
      <c r="B29" s="2">
        <f>LOOKUP($A$1,$B$96:$O$96,B98:O98)</f>
        <v>26288</v>
      </c>
      <c r="C29" s="2">
        <f>LOOKUP($A$1,$B$96:$O$96,B103:O103)</f>
        <v>0.30030000000000001</v>
      </c>
      <c r="D29" s="14">
        <f>MAX(IF(B27&gt;$B29,($B29-$B28)*$C29,(B27-$B28)*$C29),0)</f>
        <v>0</v>
      </c>
      <c r="E29" s="10"/>
      <c r="F29" s="15"/>
      <c r="G29" s="2"/>
      <c r="H29" s="2"/>
      <c r="I29" s="14"/>
      <c r="J29" s="2"/>
      <c r="K29" s="10"/>
      <c r="L29" s="10"/>
      <c r="M29" s="10"/>
      <c r="N29" s="10"/>
      <c r="O29" s="10"/>
    </row>
    <row r="30" spans="1:15" x14ac:dyDescent="0.15">
      <c r="A30" s="8" t="s">
        <v>53</v>
      </c>
      <c r="B30" s="2">
        <f>LOOKUP($A$1,$B$96:$O$96,B99:O99)</f>
        <v>43071</v>
      </c>
      <c r="C30" s="2">
        <f>LOOKUP($A$1,$B$96:$O$96,B104:O104)</f>
        <v>2.2579999999999999E-2</v>
      </c>
      <c r="D30" s="14">
        <f>MAX(IF(B27&gt;$B30,($B30-$B29)*$C30,(B27-$B29)*$C30),0)</f>
        <v>0</v>
      </c>
      <c r="E30" s="2"/>
      <c r="F30" s="15"/>
      <c r="G30" s="2"/>
      <c r="H30" s="2"/>
      <c r="I30" s="14"/>
      <c r="J30" s="2"/>
      <c r="K30" s="2"/>
      <c r="L30" s="2"/>
      <c r="M30" s="20"/>
      <c r="N30" s="2"/>
      <c r="O30" s="22"/>
    </row>
    <row r="31" spans="1:15" x14ac:dyDescent="0.15">
      <c r="A31" s="8" t="s">
        <v>54</v>
      </c>
      <c r="B31" s="2">
        <f>LOOKUP($A$1,$B$96:$O$96,B100:O100)</f>
        <v>129078</v>
      </c>
      <c r="C31" s="2">
        <f>-1*(LOOKUP($A$1,$B$96:$O$96,B105:O105))</f>
        <v>-6.5100000000000005E-2</v>
      </c>
      <c r="D31" s="14">
        <f>IF(B27&lt;B30,0,IF(B27&gt;$B31,($B31-$B30)*$C31,(B27-$B30)*$C31))</f>
        <v>0</v>
      </c>
      <c r="E31" s="2"/>
      <c r="F31" s="15"/>
      <c r="G31" s="2"/>
      <c r="H31" s="2"/>
      <c r="I31" s="14"/>
      <c r="J31" s="2"/>
      <c r="K31" s="2"/>
      <c r="L31" s="2"/>
      <c r="M31" s="20"/>
      <c r="N31" s="2"/>
      <c r="O31" s="22"/>
    </row>
    <row r="32" spans="1:15" ht="15" x14ac:dyDescent="0.15">
      <c r="A32" s="8" t="s">
        <v>61</v>
      </c>
      <c r="B32" s="2">
        <f>LOOKUP($A$1,$B$96:$O$96,B107:O107)</f>
        <v>5599</v>
      </c>
      <c r="C32" s="2">
        <f>LOOKUP($A$1,$B$96:$O$96,B108:O108)</f>
        <v>0</v>
      </c>
      <c r="D32" s="17">
        <f>MAX(SUM(D28:D31),C32)</f>
        <v>0</v>
      </c>
      <c r="E32" s="2"/>
      <c r="F32" s="15"/>
      <c r="G32" s="2"/>
      <c r="H32" s="2"/>
      <c r="I32" s="18"/>
      <c r="J32" s="2"/>
      <c r="K32" s="2"/>
      <c r="L32" s="2"/>
      <c r="M32" s="20"/>
      <c r="N32" s="2"/>
      <c r="O32" s="22"/>
    </row>
    <row r="33" spans="1:15" x14ac:dyDescent="0.15">
      <c r="A33" s="8"/>
      <c r="B33" s="2"/>
      <c r="C33" s="2"/>
      <c r="D33" s="14"/>
      <c r="E33" s="2"/>
      <c r="F33" s="21"/>
      <c r="G33" s="14"/>
      <c r="H33" s="14"/>
      <c r="I33" s="2"/>
      <c r="J33" s="2"/>
      <c r="K33" s="2"/>
      <c r="L33" s="2"/>
      <c r="M33" s="20"/>
      <c r="N33" s="2"/>
      <c r="O33" s="22"/>
    </row>
    <row r="34" spans="1:15" x14ac:dyDescent="0.15">
      <c r="A34" s="8" t="s">
        <v>118</v>
      </c>
      <c r="B34" s="205">
        <f>'1'!E9+'1'!E137</f>
        <v>0</v>
      </c>
      <c r="C34" s="2"/>
      <c r="D34" s="14"/>
      <c r="E34" s="2"/>
      <c r="F34" s="8"/>
      <c r="G34" s="2"/>
      <c r="H34" s="2"/>
      <c r="I34" s="14"/>
      <c r="J34" s="2"/>
      <c r="K34" s="2"/>
      <c r="L34" s="2"/>
      <c r="M34" s="20"/>
      <c r="N34" s="2"/>
      <c r="O34" s="22"/>
    </row>
    <row r="35" spans="1:15" ht="15" x14ac:dyDescent="0.15">
      <c r="A35" s="9" t="s">
        <v>119</v>
      </c>
      <c r="B35" s="13">
        <f>LOOKUP(A1,B73:O73,B110:O110)</f>
        <v>0.1202</v>
      </c>
      <c r="C35" s="2">
        <f>IF(MAX(A3+B34-B10,0)&gt;B34,B34,MAX((A3+B34-B10),0))</f>
        <v>0</v>
      </c>
      <c r="D35" s="23">
        <f>ROUNDDOWN(B35*C35,0)</f>
        <v>0</v>
      </c>
      <c r="E35" s="2"/>
      <c r="F35" s="8"/>
      <c r="G35" s="13"/>
      <c r="H35" s="2"/>
      <c r="I35" s="24"/>
      <c r="J35" s="2"/>
      <c r="K35" s="2"/>
      <c r="L35" s="2"/>
      <c r="M35" s="20"/>
      <c r="N35" s="2"/>
      <c r="O35" s="22"/>
    </row>
    <row r="36" spans="1:15" x14ac:dyDescent="0.15">
      <c r="A36" s="8"/>
      <c r="B36" s="2"/>
      <c r="C36" s="2"/>
      <c r="D36" s="20"/>
      <c r="E36" s="2"/>
      <c r="F36" s="22"/>
      <c r="G36" s="14"/>
      <c r="H36" s="14"/>
      <c r="I36" s="2"/>
      <c r="J36" s="2"/>
      <c r="K36" s="2"/>
      <c r="L36" s="2"/>
      <c r="M36" s="20"/>
      <c r="N36" s="2"/>
      <c r="O36" s="22"/>
    </row>
    <row r="37" spans="1:15" ht="15" x14ac:dyDescent="0.15">
      <c r="A37" s="9" t="s">
        <v>63</v>
      </c>
      <c r="B37" s="206" t="b">
        <v>0</v>
      </c>
      <c r="C37" s="2">
        <f>IF(B37,LOOKUP(A1,B129:O129,B130:O130),0)</f>
        <v>0</v>
      </c>
      <c r="D37" s="25">
        <f>MIN(C37,A2)</f>
        <v>0</v>
      </c>
      <c r="E37" s="2"/>
      <c r="F37" s="22"/>
      <c r="G37" s="14"/>
      <c r="H37" s="14"/>
      <c r="I37" s="2"/>
      <c r="J37" s="2"/>
      <c r="K37" s="2"/>
      <c r="L37" s="2"/>
      <c r="M37" s="20"/>
      <c r="N37" s="2"/>
      <c r="O37" s="22"/>
    </row>
    <row r="38" spans="1:15" ht="15" x14ac:dyDescent="0.15">
      <c r="A38" s="9" t="s">
        <v>64</v>
      </c>
      <c r="B38" s="206"/>
      <c r="C38" s="2"/>
      <c r="D38" s="25">
        <f>IF(B37*B38,LOOKUP(A1,B129:O129,B131:O131),0)</f>
        <v>0</v>
      </c>
      <c r="E38" s="2"/>
      <c r="F38" s="22"/>
      <c r="G38" s="14"/>
      <c r="H38" s="14"/>
      <c r="I38" s="2"/>
      <c r="J38" s="2"/>
      <c r="K38" s="2"/>
      <c r="L38" s="2"/>
      <c r="M38" s="20"/>
      <c r="N38" s="2"/>
      <c r="O38" s="22"/>
    </row>
    <row r="39" spans="1:15" ht="15" x14ac:dyDescent="0.15">
      <c r="A39" s="9"/>
      <c r="B39" s="26"/>
      <c r="C39" s="2"/>
      <c r="D39" s="27"/>
      <c r="E39" s="2"/>
      <c r="F39" s="22"/>
      <c r="G39" s="14"/>
      <c r="H39" s="14"/>
      <c r="I39" s="2"/>
      <c r="J39" s="2"/>
      <c r="K39" s="2"/>
      <c r="L39" s="2"/>
      <c r="M39" s="20"/>
      <c r="N39" s="2"/>
      <c r="O39" s="22"/>
    </row>
    <row r="40" spans="1:15" ht="15" x14ac:dyDescent="0.15">
      <c r="A40" s="9" t="s">
        <v>65</v>
      </c>
      <c r="B40" s="207"/>
      <c r="C40" s="2">
        <f>LOOKUP(A1,B134:O134,B135:O135)</f>
        <v>0.127</v>
      </c>
      <c r="D40" s="29">
        <f>ROUNDUP(C40*B40,0)</f>
        <v>0</v>
      </c>
      <c r="E40" s="2"/>
      <c r="F40" s="22"/>
      <c r="G40" s="14"/>
      <c r="H40" s="14"/>
      <c r="I40" s="2"/>
      <c r="J40" s="2"/>
      <c r="K40" s="2"/>
      <c r="L40" s="2"/>
      <c r="M40" s="20"/>
      <c r="N40" s="2"/>
      <c r="O40" s="22"/>
    </row>
    <row r="41" spans="1:15" ht="15" x14ac:dyDescent="0.15">
      <c r="A41" s="8"/>
      <c r="B41" s="26"/>
      <c r="C41" s="2"/>
      <c r="D41" s="27"/>
      <c r="E41" s="2"/>
      <c r="F41" s="22"/>
      <c r="G41" s="14"/>
      <c r="H41" s="14"/>
      <c r="I41" s="2"/>
      <c r="J41" s="2"/>
      <c r="K41" s="2"/>
      <c r="L41" s="2"/>
      <c r="M41" s="20"/>
      <c r="N41" s="2"/>
      <c r="O41" s="22"/>
    </row>
    <row r="42" spans="1:15" x14ac:dyDescent="0.15">
      <c r="A42" s="9" t="s">
        <v>66</v>
      </c>
      <c r="B42" s="2">
        <f>LOOKUP(A1,B113:O113,B114:O114)</f>
        <v>6145</v>
      </c>
      <c r="C42" s="2">
        <f>LOOKUP(A1,B113:O113,B116:O116)</f>
        <v>0.1145</v>
      </c>
      <c r="D42" s="28">
        <f>ROUNDUP(IF(A3&gt;B42,(C42*(A3-B42))+B43,B43),0)</f>
        <v>0</v>
      </c>
      <c r="E42" s="2"/>
      <c r="F42" s="22"/>
      <c r="G42" s="14"/>
      <c r="H42" s="14"/>
      <c r="I42" s="2"/>
      <c r="J42" s="2"/>
      <c r="K42" s="2"/>
      <c r="L42" s="2"/>
      <c r="M42" s="20"/>
      <c r="N42" s="2"/>
      <c r="O42" s="22"/>
    </row>
    <row r="43" spans="1:15" x14ac:dyDescent="0.15">
      <c r="A43" s="8" t="s">
        <v>67</v>
      </c>
      <c r="B43" s="2">
        <f>LOOKUP($A$1,$B$113:$O$113,B117:O117)</f>
        <v>0</v>
      </c>
      <c r="C43" s="2"/>
      <c r="D43" s="28"/>
      <c r="E43" s="2"/>
      <c r="F43" s="22"/>
      <c r="G43" s="14"/>
      <c r="H43" s="14"/>
      <c r="I43" s="2"/>
      <c r="J43" s="2"/>
      <c r="K43" s="2"/>
      <c r="L43" s="2"/>
      <c r="M43" s="20"/>
      <c r="N43" s="2"/>
      <c r="O43" s="22"/>
    </row>
    <row r="44" spans="1:15" ht="15" x14ac:dyDescent="0.15">
      <c r="A44" s="8" t="s">
        <v>68</v>
      </c>
      <c r="B44" s="2">
        <f>LOOKUP($A$1,$B$113:$O$113,B118:O118)</f>
        <v>2986</v>
      </c>
      <c r="C44" s="2"/>
      <c r="D44" s="23">
        <f>MIN(D42,B44)</f>
        <v>0</v>
      </c>
      <c r="E44" s="2"/>
      <c r="F44" s="22"/>
      <c r="G44" s="14"/>
      <c r="H44" s="14"/>
      <c r="I44" s="2"/>
      <c r="J44" s="2"/>
      <c r="K44" s="2"/>
      <c r="L44" s="2"/>
      <c r="M44" s="20"/>
      <c r="N44" s="2"/>
      <c r="O44" s="22"/>
    </row>
    <row r="45" spans="1:15" x14ac:dyDescent="0.15">
      <c r="A45" s="8"/>
      <c r="B45" s="2"/>
      <c r="C45" s="2"/>
      <c r="D45" s="20"/>
      <c r="E45" s="2"/>
      <c r="F45" s="22"/>
      <c r="G45" s="14"/>
      <c r="H45" s="14"/>
      <c r="I45" s="2"/>
      <c r="J45" s="2"/>
      <c r="K45" s="2"/>
      <c r="L45" s="2"/>
      <c r="M45" s="20"/>
      <c r="N45" s="2"/>
      <c r="O45" s="22"/>
    </row>
    <row r="46" spans="1:15" ht="15" x14ac:dyDescent="0.15">
      <c r="A46" s="9" t="s">
        <v>69</v>
      </c>
      <c r="B46" s="2">
        <f>LOOKUP(A1,B120:O120,B123:O123)</f>
        <v>75864</v>
      </c>
      <c r="C46" s="2">
        <f>LOOKUP(A1,B120:O120,B122:O122)</f>
        <v>5.2600000000000001E-2</v>
      </c>
      <c r="D46" s="23">
        <f>IF($A$3&gt;B46,B46*C46,A3*C46)</f>
        <v>0</v>
      </c>
      <c r="E46" s="2"/>
      <c r="F46" s="22"/>
      <c r="G46" s="14"/>
      <c r="H46" s="14"/>
      <c r="I46" s="2"/>
      <c r="J46" s="2"/>
      <c r="K46" s="2"/>
      <c r="L46" s="2"/>
      <c r="M46" s="20"/>
      <c r="N46" s="2"/>
      <c r="O46" s="22"/>
    </row>
    <row r="47" spans="1:15" ht="15" x14ac:dyDescent="0.15">
      <c r="A47" s="9" t="s">
        <v>70</v>
      </c>
      <c r="B47" s="2">
        <f>LOOKUP(A1,B120:O120,B123:O123)</f>
        <v>75864</v>
      </c>
      <c r="C47" s="2">
        <f>LOOKUP(A1,B120:O120,B121:O121)</f>
        <v>6.5100000000000005E-2</v>
      </c>
      <c r="D47" s="23">
        <f>IF($A$3&gt;B47,B47*C47,A3*C47)</f>
        <v>0</v>
      </c>
      <c r="E47" s="2"/>
      <c r="F47" s="22"/>
      <c r="G47" s="14"/>
      <c r="H47" s="14"/>
      <c r="I47" s="2"/>
      <c r="J47" s="2"/>
      <c r="K47" s="2"/>
      <c r="L47" s="2"/>
      <c r="M47" s="20"/>
      <c r="N47" s="2"/>
      <c r="O47" s="22"/>
    </row>
    <row r="48" spans="1:15" x14ac:dyDescent="0.15">
      <c r="A48" s="8"/>
      <c r="B48" s="2"/>
      <c r="C48" s="2"/>
      <c r="D48" s="20"/>
      <c r="E48" s="2"/>
      <c r="F48" s="22"/>
      <c r="G48" s="14"/>
      <c r="H48" s="14"/>
      <c r="I48" s="2"/>
      <c r="J48" s="2"/>
      <c r="K48" s="2"/>
      <c r="L48" s="2"/>
      <c r="M48" s="20"/>
      <c r="N48" s="2"/>
      <c r="O48" s="22"/>
    </row>
    <row r="49" spans="1:15" x14ac:dyDescent="0.15">
      <c r="A49" s="9" t="s">
        <v>71</v>
      </c>
      <c r="B49" s="2">
        <f>LOOKUP(A1,B125:O125,B127:O127)</f>
        <v>0</v>
      </c>
      <c r="C49" s="2">
        <f>LOOKUP(A1,B125:O125,B126:O126)</f>
        <v>0</v>
      </c>
      <c r="D49" s="42">
        <f>MIN(A2*C49,B49)</f>
        <v>0</v>
      </c>
      <c r="E49" s="2"/>
      <c r="F49" s="22"/>
      <c r="G49" s="14"/>
      <c r="H49" s="14"/>
      <c r="I49" s="2"/>
      <c r="J49" s="2"/>
      <c r="K49" s="2"/>
      <c r="L49" s="2"/>
      <c r="M49" s="20"/>
      <c r="N49" s="2"/>
      <c r="O49" s="22"/>
    </row>
    <row r="50" spans="1:15" ht="15" x14ac:dyDescent="0.15">
      <c r="A50" s="8" t="b">
        <v>0</v>
      </c>
      <c r="B50" s="2">
        <f>B37*A50</f>
        <v>0</v>
      </c>
      <c r="C50" s="2"/>
      <c r="D50" s="23">
        <f>IF(B50=1,D49,0)</f>
        <v>0</v>
      </c>
      <c r="E50" s="2"/>
      <c r="F50" s="22"/>
      <c r="G50" s="14"/>
      <c r="H50" s="14"/>
      <c r="I50" s="2"/>
      <c r="J50" s="2"/>
      <c r="K50" s="2"/>
      <c r="L50" s="2"/>
      <c r="M50" s="20"/>
      <c r="N50" s="2"/>
      <c r="O50" s="22"/>
    </row>
    <row r="51" spans="1:15" x14ac:dyDescent="0.15">
      <c r="A51" s="8"/>
      <c r="B51" s="2"/>
      <c r="C51" s="2"/>
      <c r="D51" s="20"/>
      <c r="E51" s="2"/>
      <c r="F51" s="22"/>
      <c r="G51" s="14"/>
      <c r="H51" s="14"/>
      <c r="I51" s="2"/>
      <c r="J51" s="2"/>
      <c r="K51" s="2"/>
      <c r="L51" s="2"/>
      <c r="M51" s="20"/>
      <c r="N51" s="2"/>
      <c r="O51" s="22"/>
    </row>
    <row r="52" spans="1:15" ht="15" x14ac:dyDescent="0.15">
      <c r="A52" s="9" t="s">
        <v>6</v>
      </c>
      <c r="B52" s="204">
        <f>'1'!E8</f>
        <v>0</v>
      </c>
      <c r="C52" s="2"/>
      <c r="D52" s="17">
        <f>SUM(D53:D57)</f>
        <v>0</v>
      </c>
      <c r="E52" s="2"/>
      <c r="F52" s="22"/>
      <c r="G52" s="14"/>
      <c r="H52" s="14"/>
      <c r="I52" s="2"/>
      <c r="J52" s="2"/>
      <c r="K52" s="2"/>
      <c r="L52" s="2"/>
      <c r="M52" s="20"/>
      <c r="N52" s="2"/>
      <c r="O52" s="22"/>
    </row>
    <row r="53" spans="1:15" x14ac:dyDescent="0.15">
      <c r="A53" s="8" t="s">
        <v>51</v>
      </c>
      <c r="B53" s="2">
        <f>A139</f>
        <v>12500</v>
      </c>
      <c r="C53" s="13">
        <f>LOOKUP($A$1,$B$137:$O$137,B139:O139)</f>
        <v>1E-3</v>
      </c>
      <c r="D53" s="2">
        <f>IF($B$52&lt;B53,0,IF($B$52&lt;B54,$B$52*C53,0))</f>
        <v>0</v>
      </c>
      <c r="E53" s="2"/>
      <c r="F53" s="22"/>
      <c r="G53" s="14"/>
      <c r="H53" s="14"/>
      <c r="I53" s="2"/>
      <c r="J53" s="2"/>
      <c r="K53" s="2"/>
      <c r="L53" s="2"/>
      <c r="M53" s="20"/>
      <c r="N53" s="2"/>
      <c r="O53" s="22"/>
    </row>
    <row r="54" spans="1:15" x14ac:dyDescent="0.15">
      <c r="A54" s="8" t="s">
        <v>52</v>
      </c>
      <c r="B54" s="2">
        <f>A140</f>
        <v>25000</v>
      </c>
      <c r="C54" s="13">
        <f>LOOKUP($A$1,$B$137:$O$137,B140:O140)</f>
        <v>2E-3</v>
      </c>
      <c r="D54" s="2">
        <f>IF($B$52&lt;B54,0,IF($B$52&lt;B55,$B$52*C54,0))</f>
        <v>0</v>
      </c>
      <c r="E54" s="2"/>
      <c r="F54" s="22"/>
      <c r="G54" s="14"/>
      <c r="H54" s="14"/>
      <c r="I54" s="2"/>
      <c r="J54" s="2"/>
      <c r="K54" s="2"/>
      <c r="L54" s="2"/>
      <c r="M54" s="20"/>
      <c r="N54" s="2"/>
      <c r="O54" s="22"/>
    </row>
    <row r="55" spans="1:15" x14ac:dyDescent="0.15">
      <c r="A55" s="8" t="s">
        <v>53</v>
      </c>
      <c r="B55" s="2">
        <f>A141</f>
        <v>50000</v>
      </c>
      <c r="C55" s="13">
        <f>LOOKUP($A$1,$B$137:$O$137,B141:O141)</f>
        <v>2.5000000000000001E-3</v>
      </c>
      <c r="D55" s="2">
        <f>IF($B$52&lt;B55,0,IF($B$52&lt;B56,$B$52*C55,0))</f>
        <v>0</v>
      </c>
      <c r="E55" s="2"/>
      <c r="F55" s="22"/>
      <c r="G55" s="14"/>
      <c r="H55" s="14"/>
      <c r="I55" s="2"/>
      <c r="J55" s="2"/>
      <c r="K55" s="2"/>
      <c r="L55" s="2"/>
      <c r="M55" s="20"/>
      <c r="N55" s="2"/>
      <c r="O55" s="22"/>
    </row>
    <row r="56" spans="1:15" x14ac:dyDescent="0.15">
      <c r="A56" s="8" t="s">
        <v>54</v>
      </c>
      <c r="B56" s="2">
        <f>A142</f>
        <v>75000</v>
      </c>
      <c r="C56" s="13">
        <f>LOOKUP($A$1,$B$137:$O$137,B142:O142)</f>
        <v>3.5000000000000001E-3</v>
      </c>
      <c r="D56" s="2">
        <f>IF($B$52&lt;B56,0,IF($B$52&lt;B57,$B$52*C56,0))</f>
        <v>0</v>
      </c>
      <c r="E56" s="2"/>
      <c r="F56" s="22"/>
      <c r="G56" s="14"/>
      <c r="H56" s="14"/>
      <c r="I56" s="2"/>
      <c r="J56" s="2"/>
      <c r="K56" s="2"/>
      <c r="L56" s="2"/>
      <c r="M56" s="20"/>
      <c r="N56" s="2"/>
      <c r="O56" s="22"/>
    </row>
    <row r="57" spans="1:15" x14ac:dyDescent="0.15">
      <c r="A57" s="8" t="s">
        <v>72</v>
      </c>
      <c r="B57" s="2">
        <f>A143</f>
        <v>1330000</v>
      </c>
      <c r="C57" s="13">
        <f>LOOKUP($A$1,$B$137:$O$137,B143:O143)</f>
        <v>2.35E-2</v>
      </c>
      <c r="D57" s="2">
        <f>IF($B$52&gt;B57,(C56*B57)+(C57*(B52-B57)),0)</f>
        <v>0</v>
      </c>
      <c r="E57" s="2"/>
      <c r="F57" s="22"/>
      <c r="G57" s="14"/>
      <c r="H57" s="14"/>
      <c r="I57" s="2"/>
      <c r="J57" s="2"/>
      <c r="K57" s="2"/>
      <c r="L57" s="2"/>
      <c r="M57" s="20"/>
      <c r="N57" s="2"/>
      <c r="O57" s="22"/>
    </row>
    <row r="58" spans="1:15" x14ac:dyDescent="0.15">
      <c r="A58" s="8"/>
      <c r="B58" s="2"/>
      <c r="C58" s="2"/>
      <c r="D58" s="20"/>
      <c r="E58" s="2"/>
      <c r="F58" s="22"/>
      <c r="G58" s="14"/>
      <c r="H58" s="14"/>
      <c r="I58" s="2"/>
      <c r="J58" s="2"/>
      <c r="K58" s="2"/>
      <c r="L58" s="2"/>
      <c r="M58" s="20"/>
      <c r="N58" s="2"/>
      <c r="O58" s="22"/>
    </row>
    <row r="59" spans="1:15" ht="15" x14ac:dyDescent="0.15">
      <c r="A59" s="9" t="s">
        <v>19</v>
      </c>
      <c r="B59" s="204"/>
      <c r="C59" s="2"/>
      <c r="D59" s="29">
        <f>SUM(D60:D63)</f>
        <v>0</v>
      </c>
      <c r="E59" s="2"/>
      <c r="F59" s="22"/>
      <c r="G59" s="14"/>
      <c r="H59" s="14"/>
      <c r="I59" s="2"/>
      <c r="J59" s="2"/>
      <c r="K59" s="2"/>
      <c r="L59" s="2"/>
      <c r="M59" s="20"/>
      <c r="N59" s="2"/>
      <c r="O59" s="22"/>
    </row>
    <row r="60" spans="1:15" x14ac:dyDescent="0.15">
      <c r="A60" s="8" t="s">
        <v>51</v>
      </c>
      <c r="B60" s="2">
        <v>525</v>
      </c>
      <c r="C60" s="20">
        <v>1.2500000000000001E-2</v>
      </c>
      <c r="D60" s="2">
        <f>IF($B$59&lt;B60,0,IF($B$59&lt;B61,$A$2*C60,0))</f>
        <v>0</v>
      </c>
      <c r="E60" s="2"/>
      <c r="F60" s="22"/>
      <c r="G60" s="14"/>
      <c r="H60" s="14"/>
      <c r="I60" s="2"/>
      <c r="J60" s="2"/>
      <c r="K60" s="2"/>
      <c r="L60" s="2"/>
      <c r="M60" s="20"/>
      <c r="N60" s="2"/>
      <c r="O60" s="22"/>
    </row>
    <row r="61" spans="1:15" x14ac:dyDescent="0.15">
      <c r="A61" s="8" t="s">
        <v>52</v>
      </c>
      <c r="B61" s="2">
        <v>875</v>
      </c>
      <c r="C61" s="19">
        <v>0.02</v>
      </c>
      <c r="D61" s="2">
        <f>IF($B$59&lt;B61,0,IF($B$59&lt;B62,$A$2*C61,0))</f>
        <v>0</v>
      </c>
      <c r="E61" s="2"/>
      <c r="F61" s="22"/>
      <c r="G61" s="14"/>
      <c r="H61" s="14"/>
      <c r="I61" s="2"/>
      <c r="J61" s="2"/>
      <c r="K61" s="2"/>
      <c r="L61" s="2"/>
      <c r="M61" s="20"/>
      <c r="N61" s="2"/>
      <c r="O61" s="22"/>
    </row>
    <row r="62" spans="1:15" x14ac:dyDescent="0.15">
      <c r="A62" s="8" t="s">
        <v>53</v>
      </c>
      <c r="B62" s="2">
        <v>1225</v>
      </c>
      <c r="C62" s="19">
        <v>0.03</v>
      </c>
      <c r="D62" s="2">
        <f>IF($B$59&lt;B62,0,IF($B$59&lt;B63,$A$2*C62,0))</f>
        <v>0</v>
      </c>
      <c r="E62" s="2"/>
      <c r="F62" s="22"/>
      <c r="G62" s="14"/>
      <c r="H62" s="14"/>
      <c r="I62" s="2"/>
      <c r="J62" s="2"/>
      <c r="K62" s="2"/>
      <c r="L62" s="2"/>
      <c r="M62" s="20"/>
      <c r="N62" s="2"/>
      <c r="O62" s="22"/>
    </row>
    <row r="63" spans="1:15" x14ac:dyDescent="0.15">
      <c r="A63" s="8" t="s">
        <v>54</v>
      </c>
      <c r="B63" s="2">
        <v>1750</v>
      </c>
      <c r="C63" s="19">
        <v>0.04</v>
      </c>
      <c r="D63" s="2">
        <f>IF($B$59&lt;B63,0,$A$2*C63)</f>
        <v>0</v>
      </c>
      <c r="E63" s="2"/>
      <c r="F63" s="22"/>
      <c r="G63" s="14"/>
      <c r="H63" s="14"/>
      <c r="I63" s="2"/>
      <c r="J63" s="2"/>
      <c r="K63" s="2"/>
      <c r="L63" s="2"/>
      <c r="M63" s="20"/>
      <c r="N63" s="2"/>
      <c r="O63" s="22"/>
    </row>
    <row r="64" spans="1:15" x14ac:dyDescent="0.15">
      <c r="A64" s="8"/>
      <c r="B64" s="2"/>
      <c r="C64" s="2"/>
      <c r="D64" s="20"/>
      <c r="E64" s="2"/>
      <c r="F64" s="22"/>
      <c r="G64" s="14"/>
      <c r="H64" s="14"/>
      <c r="I64" s="2"/>
      <c r="J64" s="2"/>
      <c r="K64" s="2"/>
      <c r="L64" s="2"/>
      <c r="M64" s="20"/>
      <c r="N64" s="2"/>
      <c r="O64" s="22"/>
    </row>
    <row r="65" spans="1:15" ht="15" x14ac:dyDescent="0.15">
      <c r="A65" s="9"/>
      <c r="B65" s="2"/>
      <c r="C65" s="2"/>
      <c r="D65" s="40"/>
      <c r="E65" s="2"/>
      <c r="F65" s="22"/>
      <c r="G65" s="14"/>
      <c r="H65" s="14"/>
      <c r="I65" s="2"/>
      <c r="J65" s="2"/>
      <c r="K65" s="2"/>
      <c r="L65" s="2"/>
      <c r="M65" s="20"/>
      <c r="N65" s="2"/>
      <c r="O65" s="22"/>
    </row>
    <row r="66" spans="1:15" x14ac:dyDescent="0.15">
      <c r="A66" s="8"/>
      <c r="B66" s="20"/>
      <c r="C66" s="2"/>
      <c r="D66" s="20"/>
      <c r="E66" s="2"/>
      <c r="F66" s="22"/>
      <c r="G66" s="14"/>
      <c r="H66" s="14"/>
      <c r="I66" s="2"/>
      <c r="J66" s="2"/>
      <c r="K66" s="2"/>
      <c r="L66" s="2"/>
      <c r="M66" s="20"/>
      <c r="N66" s="2"/>
      <c r="O66" s="22"/>
    </row>
    <row r="67" spans="1:15" x14ac:dyDescent="0.15">
      <c r="A67" s="8"/>
      <c r="B67" s="2"/>
      <c r="C67" s="2"/>
      <c r="D67" s="20"/>
      <c r="E67" s="2"/>
      <c r="F67" s="22"/>
      <c r="G67" s="14"/>
      <c r="H67" s="14"/>
      <c r="I67" s="2"/>
      <c r="J67" s="2"/>
      <c r="K67" s="2"/>
      <c r="L67" s="2"/>
      <c r="M67" s="20"/>
      <c r="N67" s="2"/>
      <c r="O67" s="22"/>
    </row>
    <row r="68" spans="1:15" x14ac:dyDescent="0.15">
      <c r="A68" s="8"/>
      <c r="B68" s="45"/>
      <c r="C68" s="2"/>
      <c r="D68" s="20"/>
      <c r="E68" s="2"/>
      <c r="F68" s="22"/>
      <c r="G68" s="14"/>
      <c r="H68" s="14"/>
      <c r="I68" s="2"/>
      <c r="J68" s="2"/>
      <c r="K68" s="2"/>
      <c r="L68" s="2"/>
      <c r="M68" s="20"/>
      <c r="N68" s="2"/>
      <c r="O68" s="22"/>
    </row>
    <row r="69" spans="1:15" x14ac:dyDescent="0.15">
      <c r="A69" s="8"/>
      <c r="B69" s="2"/>
      <c r="C69" s="2"/>
      <c r="D69" s="20"/>
      <c r="E69" s="2"/>
      <c r="F69" s="22"/>
      <c r="G69" s="14"/>
      <c r="H69" s="14"/>
      <c r="I69" s="2"/>
      <c r="J69" s="2"/>
      <c r="K69" s="2"/>
      <c r="L69" s="2"/>
      <c r="M69" s="20"/>
      <c r="N69" s="2"/>
      <c r="O69" s="22"/>
    </row>
    <row r="70" spans="1:15" ht="15" x14ac:dyDescent="0.15">
      <c r="A70" s="31" t="s">
        <v>77</v>
      </c>
      <c r="B70" s="2"/>
      <c r="C70" s="2"/>
      <c r="D70" s="2"/>
      <c r="E70" s="2"/>
      <c r="F70" s="2"/>
      <c r="G70" s="32"/>
      <c r="H70" s="32"/>
      <c r="I70" s="2"/>
      <c r="J70" s="2"/>
      <c r="K70" s="2"/>
      <c r="L70" s="2"/>
      <c r="M70" s="2"/>
      <c r="N70" s="2"/>
      <c r="O70" s="2"/>
    </row>
    <row r="71" spans="1:15" x14ac:dyDescent="0.15">
      <c r="A71" s="8"/>
      <c r="B71" s="2"/>
      <c r="C71" s="2"/>
      <c r="D71" s="2"/>
      <c r="E71" s="2"/>
      <c r="F71" s="2"/>
      <c r="G71" s="2"/>
      <c r="H71" s="2"/>
      <c r="I71" s="2"/>
      <c r="J71" s="2"/>
      <c r="K71" s="2"/>
      <c r="L71" s="2"/>
      <c r="M71" s="2"/>
      <c r="N71" s="2"/>
      <c r="O71" s="2"/>
    </row>
    <row r="72" spans="1:15" x14ac:dyDescent="0.15">
      <c r="A72" s="9" t="s">
        <v>26</v>
      </c>
      <c r="B72" s="10"/>
      <c r="C72" s="10"/>
      <c r="D72" s="10"/>
      <c r="E72" s="11"/>
      <c r="F72" s="11"/>
      <c r="G72" s="2"/>
      <c r="H72" s="10"/>
      <c r="I72" s="10"/>
      <c r="J72" s="10"/>
      <c r="K72" s="10"/>
      <c r="L72" s="10"/>
      <c r="M72" s="10"/>
      <c r="N72" s="11"/>
      <c r="O72" s="11"/>
    </row>
    <row r="73" spans="1:15" x14ac:dyDescent="0.15">
      <c r="A73" s="9"/>
      <c r="B73" s="33">
        <v>2012</v>
      </c>
      <c r="C73" s="33">
        <v>2013</v>
      </c>
      <c r="D73" s="33">
        <v>2014</v>
      </c>
      <c r="E73" s="33">
        <v>2015</v>
      </c>
      <c r="F73" s="33">
        <v>2016</v>
      </c>
      <c r="G73" s="33">
        <v>2017</v>
      </c>
      <c r="H73" s="33">
        <v>2018</v>
      </c>
      <c r="I73" s="33">
        <v>2019</v>
      </c>
      <c r="J73" s="33">
        <v>2020</v>
      </c>
      <c r="K73" s="33">
        <v>2021</v>
      </c>
      <c r="L73" s="33">
        <v>2022</v>
      </c>
      <c r="M73" s="171">
        <v>2023</v>
      </c>
      <c r="N73" s="33">
        <v>2024</v>
      </c>
      <c r="O73" s="33">
        <v>2025</v>
      </c>
    </row>
    <row r="74" spans="1:15" x14ac:dyDescent="0.15">
      <c r="A74" s="8" t="s">
        <v>78</v>
      </c>
      <c r="B74" s="50">
        <v>18945</v>
      </c>
      <c r="C74" s="50">
        <v>19645</v>
      </c>
      <c r="D74" s="50">
        <v>19645</v>
      </c>
      <c r="E74" s="50">
        <v>19822</v>
      </c>
      <c r="F74" s="50">
        <v>19922</v>
      </c>
      <c r="G74" s="50">
        <v>19982</v>
      </c>
      <c r="H74" s="50">
        <v>20142</v>
      </c>
      <c r="I74" s="50">
        <v>20384</v>
      </c>
      <c r="J74" s="50">
        <v>20711</v>
      </c>
      <c r="K74" s="50">
        <v>21043</v>
      </c>
      <c r="L74" s="50">
        <v>21317</v>
      </c>
      <c r="M74" s="172">
        <v>22660</v>
      </c>
      <c r="N74" s="50">
        <v>24821</v>
      </c>
      <c r="O74" s="50">
        <v>26288</v>
      </c>
    </row>
    <row r="75" spans="1:15" x14ac:dyDescent="0.15">
      <c r="A75" s="8"/>
      <c r="B75" s="50">
        <f>IF($A$4&lt;1946-1-1,34055,33863)</f>
        <v>33863</v>
      </c>
      <c r="C75" s="50">
        <f>IF($A$4&lt;1946-1-1,33555,33363)</f>
        <v>33363</v>
      </c>
      <c r="D75" s="50">
        <f>IF($A$4&lt;1946-1-1,33555,33363)</f>
        <v>33363</v>
      </c>
      <c r="E75" s="50">
        <f>IF($A$4&lt;1946-1-1,33857,33589)</f>
        <v>33589</v>
      </c>
      <c r="F75" s="50">
        <f>IF($A$4&lt;1946-1-1,34027,33715)</f>
        <v>33715</v>
      </c>
      <c r="G75" s="50">
        <f>IF($A$4&lt;1946-1-1,34130,33791)</f>
        <v>33791</v>
      </c>
      <c r="H75" s="50">
        <f>IF($A$4&lt;1946-1-1,34404,33994)</f>
        <v>33994</v>
      </c>
      <c r="I75" s="50">
        <f>IF($A$4&lt;1946-1-1,34817,34300)</f>
        <v>34300</v>
      </c>
      <c r="J75" s="50">
        <f>IF($A$4&lt;1946-1-1,35375,34712)</f>
        <v>34712</v>
      </c>
      <c r="K75" s="50">
        <f>IF($A$4&lt;1946-1-1,35941,35129)</f>
        <v>35129</v>
      </c>
      <c r="L75" s="50">
        <f>IF($A$4&lt;1946-1-1,36409,35472)</f>
        <v>35472</v>
      </c>
      <c r="M75" s="172">
        <f>IF($A$4&lt;1946-1-1,38703,37149)</f>
        <v>37149</v>
      </c>
      <c r="N75" s="50">
        <f>IF($A$4&lt;1946-1-1,40021,38098)</f>
        <v>38098</v>
      </c>
      <c r="O75" s="50">
        <v>38441</v>
      </c>
    </row>
    <row r="76" spans="1:15" x14ac:dyDescent="0.15">
      <c r="A76" s="8"/>
      <c r="B76" s="50">
        <v>56491</v>
      </c>
      <c r="C76" s="50">
        <v>55991</v>
      </c>
      <c r="D76" s="50">
        <v>56531</v>
      </c>
      <c r="E76" s="50">
        <v>57585</v>
      </c>
      <c r="F76" s="50">
        <v>66421</v>
      </c>
      <c r="G76" s="50">
        <v>67072</v>
      </c>
      <c r="H76" s="50">
        <v>68507</v>
      </c>
      <c r="I76" s="50">
        <v>68507</v>
      </c>
      <c r="J76" s="50">
        <v>68507</v>
      </c>
      <c r="K76" s="50">
        <v>68507</v>
      </c>
      <c r="L76" s="50">
        <v>69398</v>
      </c>
      <c r="M76" s="172">
        <v>73031</v>
      </c>
      <c r="N76" s="50">
        <v>75518</v>
      </c>
      <c r="O76" s="50">
        <v>76817</v>
      </c>
    </row>
    <row r="77" spans="1:15" x14ac:dyDescent="0.15">
      <c r="A77" s="8"/>
      <c r="B77" s="2"/>
      <c r="C77" s="2"/>
      <c r="D77" s="2"/>
      <c r="E77" s="2"/>
      <c r="F77" s="2"/>
      <c r="G77" s="2"/>
      <c r="H77" s="2"/>
      <c r="I77" s="2"/>
      <c r="J77" s="2"/>
      <c r="K77" s="2"/>
      <c r="L77" s="2"/>
      <c r="M77" s="26"/>
      <c r="N77" s="2"/>
      <c r="O77" s="2"/>
    </row>
    <row r="78" spans="1:15" x14ac:dyDescent="0.15">
      <c r="A78" s="8" t="s">
        <v>79</v>
      </c>
      <c r="B78" s="51">
        <v>17168</v>
      </c>
      <c r="C78" s="43">
        <v>17533</v>
      </c>
      <c r="D78" s="51">
        <v>17868</v>
      </c>
      <c r="E78" s="51">
        <v>18203</v>
      </c>
      <c r="F78" s="51">
        <v>18537</v>
      </c>
      <c r="G78" s="51">
        <v>18810</v>
      </c>
      <c r="H78" s="51">
        <v>19085</v>
      </c>
      <c r="I78" s="51">
        <v>19360</v>
      </c>
      <c r="J78" s="51">
        <v>19603</v>
      </c>
      <c r="K78" s="51">
        <v>19968</v>
      </c>
      <c r="L78" s="51">
        <v>20090</v>
      </c>
      <c r="M78" s="70">
        <v>20607</v>
      </c>
      <c r="N78" s="51">
        <v>20880</v>
      </c>
      <c r="O78" s="51">
        <v>21186</v>
      </c>
    </row>
    <row r="79" spans="1:15" x14ac:dyDescent="0.15">
      <c r="A79" s="8" t="s">
        <v>80</v>
      </c>
      <c r="B79" s="2" t="b">
        <f t="shared" ref="B79:O79" si="0">$A$4&lt;B78</f>
        <v>0</v>
      </c>
      <c r="C79" s="2" t="b">
        <f t="shared" si="0"/>
        <v>0</v>
      </c>
      <c r="D79" s="2" t="b">
        <f t="shared" si="0"/>
        <v>0</v>
      </c>
      <c r="E79" s="2" t="b">
        <f t="shared" si="0"/>
        <v>0</v>
      </c>
      <c r="F79" s="2" t="b">
        <f t="shared" si="0"/>
        <v>0</v>
      </c>
      <c r="G79" s="2" t="b">
        <f t="shared" si="0"/>
        <v>0</v>
      </c>
      <c r="H79" s="2" t="b">
        <f t="shared" si="0"/>
        <v>0</v>
      </c>
      <c r="I79" s="2" t="b">
        <f t="shared" si="0"/>
        <v>0</v>
      </c>
      <c r="J79" s="2" t="b">
        <f t="shared" si="0"/>
        <v>0</v>
      </c>
      <c r="K79" s="2" t="b">
        <f t="shared" si="0"/>
        <v>0</v>
      </c>
      <c r="L79" s="2" t="b">
        <f t="shared" si="0"/>
        <v>0</v>
      </c>
      <c r="M79" s="26" t="b">
        <f t="shared" si="0"/>
        <v>0</v>
      </c>
      <c r="N79" s="2" t="b">
        <f t="shared" si="0"/>
        <v>0</v>
      </c>
      <c r="O79" s="2" t="b">
        <f t="shared" si="0"/>
        <v>0</v>
      </c>
    </row>
    <row r="80" spans="1:15" x14ac:dyDescent="0.15">
      <c r="A80" s="8" t="s">
        <v>81</v>
      </c>
      <c r="B80" s="20">
        <f>IF(B$79=TRUE,15.2%,33.1%)</f>
        <v>0.33100000000000002</v>
      </c>
      <c r="C80" s="20">
        <f>IF(C$79=TRUE,19.1%,37%)</f>
        <v>0.37</v>
      </c>
      <c r="D80" s="20">
        <f>IF(D$79=TRUE,18.35%,36.25%)</f>
        <v>0.36249999999999999</v>
      </c>
      <c r="E80" s="20">
        <f>IF(E$79=TRUE,18.6%,36.5%)</f>
        <v>0.36499999999999999</v>
      </c>
      <c r="F80" s="20">
        <f>IF(F$79=TRUE,18.65%,36.55%)</f>
        <v>0.36549999999999999</v>
      </c>
      <c r="G80" s="20">
        <f>IF(G$79=TRUE,18.65%,36.55%)</f>
        <v>0.36549999999999999</v>
      </c>
      <c r="H80" s="20">
        <f>IF(H$79=TRUE,18.65%,36.55%)</f>
        <v>0.36549999999999999</v>
      </c>
      <c r="I80" s="20">
        <f>IF(I79=TRUE,18.75%,36.65%)</f>
        <v>0.36649999999999999</v>
      </c>
      <c r="J80" s="20">
        <f>IF(J79=TRUE,19.45%,37.35%)</f>
        <v>0.3735</v>
      </c>
      <c r="K80" s="20">
        <f>IF(K79=TRUE,19.2%,37.1%)</f>
        <v>0.371</v>
      </c>
      <c r="L80" s="20">
        <f>IF(L79=TRUE,19.17%,37.07%)</f>
        <v>0.37070000000000003</v>
      </c>
      <c r="M80" s="173">
        <f>IF(M79=TRUE,19.03%,36.93%)</f>
        <v>0.36930000000000002</v>
      </c>
      <c r="N80" s="20">
        <v>0.36969999999999997</v>
      </c>
      <c r="O80" s="20">
        <v>0.35820000000000002</v>
      </c>
    </row>
    <row r="81" spans="1:15" x14ac:dyDescent="0.15">
      <c r="A81" s="8" t="s">
        <v>82</v>
      </c>
      <c r="B81" s="20">
        <f>IF(B$79=TRUE,24.05%,41.95%)</f>
        <v>0.41950000000000004</v>
      </c>
      <c r="C81" s="20">
        <f>IF(C$79=TRUE,24.1%,42%)</f>
        <v>0.42</v>
      </c>
      <c r="D81" s="20">
        <f>IF(D$79=TRUE,24.1%,42%)</f>
        <v>0.42</v>
      </c>
      <c r="E81" s="20">
        <f>IF(E$79=TRUE,24.1%,42%)</f>
        <v>0.42</v>
      </c>
      <c r="F81" s="20">
        <f>IF(F$79=TRUE,22.5%,40.4%)</f>
        <v>0.40399999999999997</v>
      </c>
      <c r="G81" s="20">
        <f>IF(G$79=TRUE,22.9%,40.8%)</f>
        <v>0.40799999999999997</v>
      </c>
      <c r="H81" s="20">
        <f>IF(H$79=TRUE,22.95%,40.85%)</f>
        <v>0.40850000000000003</v>
      </c>
      <c r="I81" s="20">
        <f>IF(I79=TRUE,20.2%,38.1%)</f>
        <v>0.38100000000000001</v>
      </c>
      <c r="J81" s="20">
        <f>IF(J79=TRUE,19.45%,37.35%)</f>
        <v>0.3735</v>
      </c>
      <c r="K81" s="20">
        <f>IF(K79=TRUE,19.2%,37.1%)</f>
        <v>0.371</v>
      </c>
      <c r="L81" s="20">
        <f>IF(L79=TRUE,19.17%,37.07%)</f>
        <v>0.37070000000000003</v>
      </c>
      <c r="M81" s="173">
        <f>IF(M80=TRUE,19.03%,36.93%)</f>
        <v>0.36930000000000002</v>
      </c>
      <c r="N81" s="20">
        <v>0.36969999999999997</v>
      </c>
      <c r="O81" s="20">
        <v>0.35820000000000002</v>
      </c>
    </row>
    <row r="82" spans="1:15" x14ac:dyDescent="0.15">
      <c r="A82" s="8" t="s">
        <v>83</v>
      </c>
      <c r="B82" s="20">
        <v>0.42</v>
      </c>
      <c r="C82" s="20">
        <v>0.42</v>
      </c>
      <c r="D82" s="20">
        <v>0.42</v>
      </c>
      <c r="E82" s="20">
        <v>0.42</v>
      </c>
      <c r="F82" s="20">
        <v>0.40400000000000003</v>
      </c>
      <c r="G82" s="20">
        <v>0.40799999999999997</v>
      </c>
      <c r="H82" s="20">
        <v>0.40849999999999997</v>
      </c>
      <c r="I82" s="20">
        <v>0.38100000000000001</v>
      </c>
      <c r="J82" s="20">
        <v>0.3735</v>
      </c>
      <c r="K82" s="20">
        <v>0.371</v>
      </c>
      <c r="L82" s="20">
        <v>0.37069999999999997</v>
      </c>
      <c r="M82" s="173">
        <v>0.36930000000000002</v>
      </c>
      <c r="N82" s="20">
        <v>0.36969999999999997</v>
      </c>
      <c r="O82" s="20">
        <v>0.37480000000000002</v>
      </c>
    </row>
    <row r="83" spans="1:15" x14ac:dyDescent="0.15">
      <c r="A83" s="8" t="s">
        <v>84</v>
      </c>
      <c r="B83" s="20">
        <v>0.52</v>
      </c>
      <c r="C83" s="20">
        <v>0.52</v>
      </c>
      <c r="D83" s="20">
        <v>0.52</v>
      </c>
      <c r="E83" s="20">
        <v>0.52</v>
      </c>
      <c r="F83" s="20">
        <v>0.52</v>
      </c>
      <c r="G83" s="20">
        <v>0.52</v>
      </c>
      <c r="H83" s="20">
        <v>0.51949999999999996</v>
      </c>
      <c r="I83" s="20">
        <v>0.51749999999999996</v>
      </c>
      <c r="J83" s="20">
        <v>0.495</v>
      </c>
      <c r="K83" s="20">
        <v>0.495</v>
      </c>
      <c r="L83" s="20">
        <v>0.495</v>
      </c>
      <c r="M83" s="173">
        <v>0.495</v>
      </c>
      <c r="N83" s="52">
        <v>0.495</v>
      </c>
      <c r="O83" s="20">
        <v>0.495</v>
      </c>
    </row>
    <row r="84" spans="1:15" x14ac:dyDescent="0.15">
      <c r="A84" s="8"/>
      <c r="B84" s="2"/>
      <c r="C84" s="2"/>
      <c r="D84" s="2"/>
      <c r="E84" s="2"/>
      <c r="F84" s="2"/>
      <c r="G84" s="2"/>
      <c r="H84" s="2"/>
      <c r="I84" s="2"/>
      <c r="J84" s="2"/>
      <c r="K84" s="2"/>
      <c r="L84" s="2"/>
      <c r="M84" s="26"/>
      <c r="N84" s="2"/>
      <c r="O84" s="2"/>
    </row>
    <row r="85" spans="1:15" x14ac:dyDescent="0.15">
      <c r="A85" s="8" t="s">
        <v>55</v>
      </c>
      <c r="B85" s="19">
        <v>0.25</v>
      </c>
      <c r="C85" s="19">
        <v>0.25</v>
      </c>
      <c r="D85" s="19">
        <v>0.22</v>
      </c>
      <c r="E85" s="19">
        <v>0.25</v>
      </c>
      <c r="F85" s="19">
        <v>0.25</v>
      </c>
      <c r="G85" s="19">
        <v>0.25</v>
      </c>
      <c r="H85" s="19">
        <v>0.25</v>
      </c>
      <c r="I85" s="19">
        <v>0.25</v>
      </c>
      <c r="J85" s="20">
        <v>0.26250000000000001</v>
      </c>
      <c r="K85" s="20">
        <v>0.26900000000000002</v>
      </c>
      <c r="L85" s="20">
        <v>0.26900000000000002</v>
      </c>
      <c r="M85" s="173">
        <v>0.26900000000000002</v>
      </c>
      <c r="N85" s="19">
        <v>0.33</v>
      </c>
      <c r="O85" s="19">
        <v>0.31</v>
      </c>
    </row>
    <row r="86" spans="1:15" x14ac:dyDescent="0.15">
      <c r="A86" s="8"/>
      <c r="B86" s="2"/>
      <c r="C86" s="2"/>
      <c r="D86" s="2"/>
      <c r="E86" s="2"/>
      <c r="F86" s="2"/>
      <c r="G86" s="2"/>
      <c r="H86" s="2"/>
      <c r="I86" s="2"/>
      <c r="J86" s="2"/>
      <c r="K86" s="2"/>
      <c r="L86" s="2"/>
      <c r="M86" s="26"/>
      <c r="N86" s="2"/>
      <c r="O86" s="2"/>
    </row>
    <row r="87" spans="1:15" x14ac:dyDescent="0.15">
      <c r="A87" s="9" t="s">
        <v>8</v>
      </c>
      <c r="B87" s="33">
        <v>2012</v>
      </c>
      <c r="C87" s="33">
        <v>2013</v>
      </c>
      <c r="D87" s="33">
        <v>2014</v>
      </c>
      <c r="E87" s="33">
        <v>2015</v>
      </c>
      <c r="F87" s="33">
        <v>2016</v>
      </c>
      <c r="G87" s="33">
        <v>2017</v>
      </c>
      <c r="H87" s="33">
        <v>2018</v>
      </c>
      <c r="I87" s="33">
        <v>2019</v>
      </c>
      <c r="J87" s="33">
        <v>2020</v>
      </c>
      <c r="K87" s="33">
        <v>2021</v>
      </c>
      <c r="L87" s="33">
        <v>2022</v>
      </c>
      <c r="M87" s="171">
        <v>2023</v>
      </c>
      <c r="N87" s="33">
        <v>2024</v>
      </c>
      <c r="O87" s="33">
        <v>2025</v>
      </c>
    </row>
    <row r="88" spans="1:15" x14ac:dyDescent="0.15">
      <c r="A88" s="8" t="s">
        <v>85</v>
      </c>
      <c r="B88" s="2">
        <v>200000</v>
      </c>
      <c r="C88" s="2">
        <v>200000</v>
      </c>
      <c r="D88" s="2">
        <v>200000</v>
      </c>
      <c r="E88" s="2">
        <v>200000</v>
      </c>
      <c r="F88" s="2">
        <v>200000</v>
      </c>
      <c r="G88" s="2">
        <v>200000</v>
      </c>
      <c r="H88" s="2">
        <v>200000</v>
      </c>
      <c r="I88" s="2">
        <v>200000</v>
      </c>
      <c r="J88" s="2">
        <v>200000</v>
      </c>
      <c r="K88" s="2">
        <v>245000</v>
      </c>
      <c r="L88" s="2">
        <v>395000</v>
      </c>
      <c r="M88" s="26">
        <v>200000</v>
      </c>
      <c r="N88" s="2">
        <v>200000</v>
      </c>
      <c r="O88" s="2">
        <v>200000</v>
      </c>
    </row>
    <row r="89" spans="1:15" x14ac:dyDescent="0.15">
      <c r="A89" s="8" t="s">
        <v>86</v>
      </c>
      <c r="B89" s="19">
        <v>0.2</v>
      </c>
      <c r="C89" s="19">
        <v>0.2</v>
      </c>
      <c r="D89" s="19">
        <v>0.2</v>
      </c>
      <c r="E89" s="19">
        <v>0.2</v>
      </c>
      <c r="F89" s="19">
        <v>0.2</v>
      </c>
      <c r="G89" s="19">
        <v>0.2</v>
      </c>
      <c r="H89" s="19">
        <v>0.2</v>
      </c>
      <c r="I89" s="53">
        <v>0.19</v>
      </c>
      <c r="J89" s="53">
        <v>0.16500000000000001</v>
      </c>
      <c r="K89" s="53">
        <v>0.15</v>
      </c>
      <c r="L89" s="19">
        <v>0.15</v>
      </c>
      <c r="M89" s="174">
        <v>0.19</v>
      </c>
      <c r="N89" s="19">
        <v>0.19</v>
      </c>
      <c r="O89" s="19">
        <v>0.19</v>
      </c>
    </row>
    <row r="90" spans="1:15" x14ac:dyDescent="0.15">
      <c r="A90" s="8" t="s">
        <v>87</v>
      </c>
      <c r="B90" s="19">
        <v>0.25</v>
      </c>
      <c r="C90" s="19">
        <v>0.25</v>
      </c>
      <c r="D90" s="19">
        <v>0.25</v>
      </c>
      <c r="E90" s="19">
        <v>0.25</v>
      </c>
      <c r="F90" s="19">
        <v>0.25</v>
      </c>
      <c r="G90" s="19">
        <v>0.25</v>
      </c>
      <c r="H90" s="19">
        <v>0.25</v>
      </c>
      <c r="I90" s="53">
        <v>0.25</v>
      </c>
      <c r="J90" s="53">
        <v>0.25</v>
      </c>
      <c r="K90" s="53">
        <v>0.25</v>
      </c>
      <c r="L90" s="19">
        <v>0.25800000000000001</v>
      </c>
      <c r="M90" s="175">
        <v>0.25800000000000001</v>
      </c>
      <c r="N90" s="53">
        <v>0.25800000000000001</v>
      </c>
      <c r="O90" s="20">
        <v>0.25800000000000001</v>
      </c>
    </row>
    <row r="91" spans="1:15" x14ac:dyDescent="0.15">
      <c r="A91" s="8"/>
      <c r="B91" s="2"/>
      <c r="C91" s="2"/>
      <c r="D91" s="2"/>
      <c r="E91" s="2"/>
      <c r="F91" s="2"/>
      <c r="G91" s="2"/>
      <c r="H91" s="2"/>
      <c r="I91" s="2"/>
      <c r="J91" s="2"/>
      <c r="K91" s="2"/>
      <c r="L91" s="2"/>
      <c r="M91" s="26"/>
      <c r="N91" s="2"/>
      <c r="O91" s="2"/>
    </row>
    <row r="92" spans="1:15" x14ac:dyDescent="0.15">
      <c r="A92" s="9" t="s">
        <v>88</v>
      </c>
      <c r="B92" s="54">
        <f>IF(B$79=TRUE,934,2001)</f>
        <v>2001</v>
      </c>
      <c r="C92" s="54">
        <f>IF(C$79=TRUE,1034,2033)</f>
        <v>2033</v>
      </c>
      <c r="D92" s="54">
        <f>IF(D$79=TRUE,1065,2103)</f>
        <v>2103</v>
      </c>
      <c r="E92" s="54">
        <f>IF(E$79=TRUE,1123,2203)</f>
        <v>2203</v>
      </c>
      <c r="F92" s="54">
        <f>IF(F$79=TRUE,1145,2242)</f>
        <v>2242</v>
      </c>
      <c r="G92" s="54">
        <f>IF(G$79=TRUE,1151,2254)</f>
        <v>2254</v>
      </c>
      <c r="H92" s="54">
        <f>IF(H$79=TRUE,1157,2265)</f>
        <v>2265</v>
      </c>
      <c r="I92" s="54">
        <f>IF(I79=TRUE,1268,2477)</f>
        <v>2477</v>
      </c>
      <c r="J92" s="54">
        <f>IF(J79=TRUE,1413,2711)</f>
        <v>2711</v>
      </c>
      <c r="K92" s="54">
        <f>IF(K79=TRUE,1453,2837)</f>
        <v>2837</v>
      </c>
      <c r="L92" s="54">
        <f>IF(L79=TRUE,1494,2888)</f>
        <v>2888</v>
      </c>
      <c r="M92" s="176">
        <f>IF(M79=TRUE,1588,3070)</f>
        <v>3070</v>
      </c>
      <c r="N92" s="55">
        <f>IF(N79=TRUE,1735,3362)</f>
        <v>3362</v>
      </c>
      <c r="O92" s="55">
        <v>3068</v>
      </c>
    </row>
    <row r="93" spans="1:15" x14ac:dyDescent="0.15">
      <c r="A93" s="8" t="s">
        <v>89</v>
      </c>
      <c r="B93" s="56">
        <v>0</v>
      </c>
      <c r="C93" s="56">
        <v>0</v>
      </c>
      <c r="D93" s="57">
        <f>IF(D$79=TRUE,2%,2%)</f>
        <v>0.02</v>
      </c>
      <c r="E93" s="57">
        <f>IF(E$79=TRUE,1.183%,2.32%)</f>
        <v>2.3199999999999998E-2</v>
      </c>
      <c r="F93" s="57">
        <f>IF(F$79=TRUE,2.46%,4.822%)</f>
        <v>4.8219999999999999E-2</v>
      </c>
      <c r="G93" s="57">
        <f>IF(G$79=TRUE,2.443%,4.787%)</f>
        <v>4.7869999999999996E-2</v>
      </c>
      <c r="H93" s="57">
        <f>IF(H$79=TRUE,2.389%,4.683%)</f>
        <v>4.6829999999999997E-2</v>
      </c>
      <c r="I93" s="57">
        <f>IF(I79=TRUE,2.633%,5.147%)</f>
        <v>5.1470000000000002E-2</v>
      </c>
      <c r="J93" s="57">
        <f>IF(J79=TRUE,2.954%,5.672%)</f>
        <v>5.672E-2</v>
      </c>
      <c r="K93" s="57">
        <f>IF(K79=TRUE,3.093%,5.977%)</f>
        <v>5.9770000000000004E-2</v>
      </c>
      <c r="L93" s="57">
        <f>IF(L79=TRUE,3.106%,6.007%)</f>
        <v>6.0069999999999998E-2</v>
      </c>
      <c r="M93" s="177">
        <f>IF(M79=TRUE,3.141%,6.095%)</f>
        <v>6.0949999999999997E-2</v>
      </c>
      <c r="N93" s="56">
        <v>6.6299999999999998E-2</v>
      </c>
      <c r="O93" s="20">
        <v>6.3369999999999996E-2</v>
      </c>
    </row>
    <row r="94" spans="1:15" x14ac:dyDescent="0.15">
      <c r="A94" s="8" t="s">
        <v>90</v>
      </c>
      <c r="B94" s="58">
        <f>B92</f>
        <v>2001</v>
      </c>
      <c r="C94" s="58">
        <f>C92</f>
        <v>2033</v>
      </c>
      <c r="D94" s="59">
        <f>IF(D$79=TRUE,693,1366)</f>
        <v>1366</v>
      </c>
      <c r="E94" s="59">
        <f>IF(E$79=TRUE,685,1342)</f>
        <v>1342</v>
      </c>
      <c r="F94" s="59">
        <v>0</v>
      </c>
      <c r="G94" s="59">
        <v>0</v>
      </c>
      <c r="H94" s="59">
        <v>0</v>
      </c>
      <c r="I94" s="59">
        <v>0</v>
      </c>
      <c r="J94" s="59">
        <v>0</v>
      </c>
      <c r="K94" s="59">
        <v>0</v>
      </c>
      <c r="L94" s="58">
        <v>0</v>
      </c>
      <c r="M94" s="178">
        <v>0</v>
      </c>
      <c r="N94" s="58">
        <v>0</v>
      </c>
      <c r="O94" s="58">
        <v>0</v>
      </c>
    </row>
    <row r="95" spans="1:15" x14ac:dyDescent="0.15">
      <c r="A95" s="8"/>
      <c r="B95" s="20"/>
      <c r="C95" s="2"/>
      <c r="D95" s="22"/>
      <c r="E95" s="14"/>
      <c r="F95" s="14"/>
      <c r="G95" s="2"/>
      <c r="H95" s="2"/>
      <c r="I95" s="2"/>
      <c r="J95" s="2"/>
      <c r="K95" s="20"/>
      <c r="L95" s="2"/>
      <c r="M95" s="179"/>
      <c r="N95" s="14"/>
      <c r="O95" s="14"/>
    </row>
    <row r="96" spans="1:15" x14ac:dyDescent="0.15">
      <c r="A96" s="9" t="s">
        <v>41</v>
      </c>
      <c r="B96" s="33">
        <v>2012</v>
      </c>
      <c r="C96" s="33">
        <v>2013</v>
      </c>
      <c r="D96" s="33">
        <v>2014</v>
      </c>
      <c r="E96" s="33">
        <v>2015</v>
      </c>
      <c r="F96" s="33">
        <v>2016</v>
      </c>
      <c r="G96" s="33">
        <v>2017</v>
      </c>
      <c r="H96" s="33">
        <v>2018</v>
      </c>
      <c r="I96" s="33">
        <v>2019</v>
      </c>
      <c r="J96" s="33">
        <v>2020</v>
      </c>
      <c r="K96" s="33">
        <v>2021</v>
      </c>
      <c r="L96" s="33">
        <v>2022</v>
      </c>
      <c r="M96" s="171">
        <v>2023</v>
      </c>
      <c r="N96" s="33">
        <v>2024</v>
      </c>
      <c r="O96" s="33">
        <v>2025</v>
      </c>
    </row>
    <row r="97" spans="1:15" x14ac:dyDescent="0.15">
      <c r="A97" s="8" t="s">
        <v>51</v>
      </c>
      <c r="B97" s="58">
        <v>9295</v>
      </c>
      <c r="C97" s="58">
        <v>8816</v>
      </c>
      <c r="D97" s="58">
        <v>8913</v>
      </c>
      <c r="E97" s="60">
        <v>9010</v>
      </c>
      <c r="F97" s="60">
        <v>9147</v>
      </c>
      <c r="G97" s="58">
        <v>9309</v>
      </c>
      <c r="H97" s="58">
        <v>9468</v>
      </c>
      <c r="I97" s="58">
        <v>9694</v>
      </c>
      <c r="J97" s="58">
        <v>9921</v>
      </c>
      <c r="K97" s="58">
        <v>10108</v>
      </c>
      <c r="L97" s="58">
        <v>10350</v>
      </c>
      <c r="M97" s="178">
        <v>10740</v>
      </c>
      <c r="N97" s="60">
        <v>11491</v>
      </c>
      <c r="O97" s="60">
        <v>12169</v>
      </c>
    </row>
    <row r="98" spans="1:15" x14ac:dyDescent="0.15">
      <c r="A98" s="8" t="s">
        <v>52</v>
      </c>
      <c r="B98" s="58">
        <v>21059</v>
      </c>
      <c r="C98" s="58">
        <v>18502</v>
      </c>
      <c r="D98" s="58">
        <v>19248</v>
      </c>
      <c r="E98" s="58">
        <v>19463</v>
      </c>
      <c r="F98" s="58">
        <v>19758</v>
      </c>
      <c r="G98" s="58">
        <v>20108</v>
      </c>
      <c r="H98" s="58">
        <v>20450</v>
      </c>
      <c r="I98" s="58">
        <v>20940</v>
      </c>
      <c r="J98" s="58">
        <v>21430</v>
      </c>
      <c r="K98" s="58">
        <v>21835</v>
      </c>
      <c r="L98" s="58">
        <v>22356</v>
      </c>
      <c r="M98" s="178">
        <v>23201</v>
      </c>
      <c r="N98" s="58">
        <f>N74</f>
        <v>24821</v>
      </c>
      <c r="O98" s="58">
        <f t="shared" ref="O98" si="1">O74</f>
        <v>26288</v>
      </c>
    </row>
    <row r="99" spans="1:15" x14ac:dyDescent="0.15">
      <c r="A99" s="8" t="s">
        <v>53</v>
      </c>
      <c r="B99" s="54">
        <v>45181</v>
      </c>
      <c r="C99" s="54">
        <v>40248</v>
      </c>
      <c r="D99" s="54">
        <v>40721</v>
      </c>
      <c r="E99" s="55">
        <v>49770</v>
      </c>
      <c r="F99" s="55">
        <v>34015</v>
      </c>
      <c r="G99" s="58">
        <v>32444</v>
      </c>
      <c r="H99" s="54">
        <v>33112</v>
      </c>
      <c r="I99" s="54">
        <v>34060</v>
      </c>
      <c r="J99" s="54">
        <v>34954</v>
      </c>
      <c r="K99" s="54">
        <v>35652</v>
      </c>
      <c r="L99" s="54">
        <v>36649</v>
      </c>
      <c r="M99" s="176">
        <v>37691</v>
      </c>
      <c r="N99" s="60">
        <v>39958</v>
      </c>
      <c r="O99" s="60">
        <v>43071</v>
      </c>
    </row>
    <row r="100" spans="1:15" x14ac:dyDescent="0.15">
      <c r="A100" s="8" t="s">
        <v>54</v>
      </c>
      <c r="B100" s="58">
        <v>514.17999999999995</v>
      </c>
      <c r="C100" s="58">
        <v>69573</v>
      </c>
      <c r="D100" s="58">
        <v>83971</v>
      </c>
      <c r="E100" s="58">
        <v>100670</v>
      </c>
      <c r="F100" s="58">
        <v>111590</v>
      </c>
      <c r="G100" s="58">
        <v>121972</v>
      </c>
      <c r="H100" s="58">
        <v>123362</v>
      </c>
      <c r="I100" s="58">
        <v>90710</v>
      </c>
      <c r="J100" s="58">
        <f>(J107/J105)+J99</f>
        <v>98604</v>
      </c>
      <c r="K100" s="58">
        <f>(K107/K105)+K99</f>
        <v>105735.33333333334</v>
      </c>
      <c r="L100" s="58">
        <f>(L107/L105)+L99</f>
        <v>109345.24573378838</v>
      </c>
      <c r="M100" s="178">
        <f>(M107/M105)+M99</f>
        <v>115294.68663594472</v>
      </c>
      <c r="N100" s="58">
        <v>124935</v>
      </c>
      <c r="O100" s="58">
        <v>129078</v>
      </c>
    </row>
    <row r="101" spans="1:15" x14ac:dyDescent="0.15">
      <c r="A101" s="8"/>
      <c r="B101" s="2"/>
      <c r="C101" s="2"/>
      <c r="D101" s="20"/>
      <c r="E101" s="2"/>
      <c r="F101" s="22"/>
      <c r="G101" s="14"/>
      <c r="H101" s="14"/>
      <c r="I101" s="2"/>
      <c r="J101" s="2"/>
      <c r="K101" s="2"/>
      <c r="L101" s="2"/>
      <c r="M101" s="26"/>
      <c r="N101" s="2"/>
      <c r="O101" s="22"/>
    </row>
    <row r="102" spans="1:15" x14ac:dyDescent="0.15">
      <c r="A102" s="8" t="s">
        <v>81</v>
      </c>
      <c r="B102" s="2">
        <f>IF(B$79=TRUE,0.796%,1.733%)</f>
        <v>1.7330000000000002E-2</v>
      </c>
      <c r="C102" s="2">
        <f>IF(C$79=TRUE,0.943%,1.827%)</f>
        <v>1.8269999999999998E-2</v>
      </c>
      <c r="D102" s="2">
        <f>IF(D$79=TRUE,0.915%,1.807%)</f>
        <v>1.8069999999999999E-2</v>
      </c>
      <c r="E102" s="2">
        <f>IF(E$79=TRUE,0.922%,1.81%)</f>
        <v>1.8100000000000002E-2</v>
      </c>
      <c r="F102" s="2">
        <f>IF(F$79=TRUE,0.915%,1.793%)</f>
        <v>1.7929999999999998E-2</v>
      </c>
      <c r="G102" s="2">
        <f>IF(G$79=TRUE,0.904%,1.772%)</f>
        <v>1.772E-2</v>
      </c>
      <c r="H102" s="2">
        <f>IF(H$79=TRUE,0.901%,1.764%)</f>
        <v>1.7639999999999999E-2</v>
      </c>
      <c r="I102" s="2">
        <f>IF(I79=TRUE,0.898%,1.754%)</f>
        <v>1.754E-2</v>
      </c>
      <c r="J102" s="2">
        <f>IF(J79=TRUE,1.464%,2.812%)</f>
        <v>2.8119999999999999E-2</v>
      </c>
      <c r="K102" s="2">
        <f>IF(K79=TRUE,2.371%,4.581%)</f>
        <v>4.5810000000000003E-2</v>
      </c>
      <c r="L102" s="2">
        <f>IF(L79=TRUE,2.348%,4.541%)</f>
        <v>4.5410000000000006E-2</v>
      </c>
      <c r="M102" s="26">
        <f>IF(M79=TRUE,4.241%,8.231%)</f>
        <v>8.2309999999999994E-2</v>
      </c>
      <c r="N102" s="2">
        <f>IF(N79=TRUE,4.346%,8.425%)</f>
        <v>8.4250000000000005E-2</v>
      </c>
      <c r="O102" s="211">
        <v>8.0530000000000004E-2</v>
      </c>
    </row>
    <row r="103" spans="1:15" x14ac:dyDescent="0.15">
      <c r="A103" s="8" t="s">
        <v>82</v>
      </c>
      <c r="B103" s="2">
        <f>IF(B$79=TRUE,5.657%,12.32%)</f>
        <v>0.1232</v>
      </c>
      <c r="C103" s="2">
        <f>IF(C$79=TRUE,8.319%,16.115%)</f>
        <v>0.16114999999999999</v>
      </c>
      <c r="D103" s="2">
        <f>IF(D$79=TRUE,9.479%,18.724%)</f>
        <v>0.18723999999999999</v>
      </c>
      <c r="E103" s="2">
        <f>IF(E$79=TRUE,10.028%,19.679%)</f>
        <v>0.19678999999999999</v>
      </c>
      <c r="F103" s="2">
        <f>IF(F$79=TRUE,14.133%,27.698%)</f>
        <v>0.27698</v>
      </c>
      <c r="G103" s="2">
        <f>IF(G$79=TRUE,14.449%,28.317%)</f>
        <v>0.28316999999999998</v>
      </c>
      <c r="H103" s="2">
        <f>IF(H$79=TRUE,14.32%,28.064%)</f>
        <v>0.28064</v>
      </c>
      <c r="I103" s="2">
        <f>IF(I79=TRUE,14.689%,28.712%)</f>
        <v>0.28711999999999999</v>
      </c>
      <c r="J103" s="2">
        <f>IF(J79=TRUE,15.004%,28.812%)</f>
        <v>0.28811999999999999</v>
      </c>
      <c r="K103" s="2">
        <f>IF(K79=TRUE,14.89%,28.771%)</f>
        <v>0.28771000000000002</v>
      </c>
      <c r="L103" s="2">
        <f>IF(L79=TRUE,14.718%,28.461%)</f>
        <v>0.28460999999999997</v>
      </c>
      <c r="M103" s="26">
        <f>IF(M79=TRUE,15.388%,29.861%)</f>
        <v>0.29860999999999999</v>
      </c>
      <c r="N103" s="2">
        <f>IF(N79=TRUE,16.214%,31.433%)</f>
        <v>0.31433</v>
      </c>
      <c r="O103" s="211">
        <v>0.30030000000000001</v>
      </c>
    </row>
    <row r="104" spans="1:15" x14ac:dyDescent="0.15">
      <c r="A104" s="8" t="s">
        <v>83</v>
      </c>
      <c r="B104" s="2">
        <v>0</v>
      </c>
      <c r="C104" s="2">
        <v>0</v>
      </c>
      <c r="D104" s="2">
        <v>0</v>
      </c>
      <c r="E104" s="2">
        <v>0</v>
      </c>
      <c r="F104" s="2">
        <v>0</v>
      </c>
      <c r="G104" s="2">
        <v>0</v>
      </c>
      <c r="H104" s="2">
        <v>0</v>
      </c>
      <c r="I104" s="2">
        <v>0</v>
      </c>
      <c r="J104" s="2">
        <f>IF(J79=TRUE,0.862%,1.656%)</f>
        <v>1.6559999999999998E-2</v>
      </c>
      <c r="K104" s="2">
        <f>IF(K79=TRUE,1.378%,2.663%)</f>
        <v>2.6629999999999997E-2</v>
      </c>
      <c r="L104" s="2">
        <f>IF(L79=TRUE,1.349%,2.61%)</f>
        <v>2.6099999999999998E-2</v>
      </c>
      <c r="M104" s="26">
        <f>IF(M79=TRUE,1.589%,3.085%)</f>
        <v>3.0849999999999999E-2</v>
      </c>
      <c r="N104" s="2">
        <f>IF(N79=TRUE,1.275%,2.471%)</f>
        <v>2.4709999999999999E-2</v>
      </c>
      <c r="O104" s="2">
        <v>2.2579999999999999E-2</v>
      </c>
    </row>
    <row r="105" spans="1:15" x14ac:dyDescent="0.15">
      <c r="A105" s="8" t="s">
        <v>84</v>
      </c>
      <c r="B105" s="2">
        <f>IF(B$79=TRUE,0.574%,1.25%)</f>
        <v>1.2500000000000001E-2</v>
      </c>
      <c r="C105" s="2">
        <f>IF(C$79=TRUE,2.064%,4%)</f>
        <v>0.04</v>
      </c>
      <c r="D105" s="2">
        <f>IF(D$79=TRUE,2.025%,4%)</f>
        <v>0.04</v>
      </c>
      <c r="E105" s="2">
        <f>IF(E$79=TRUE,2.038%,4%)</f>
        <v>0.04</v>
      </c>
      <c r="F105" s="2">
        <f>IF(F$79=TRUE,2.041%,4%)</f>
        <v>0.04</v>
      </c>
      <c r="G105" s="2">
        <f>IF(G$79=TRUE,1.837%,3.6%)</f>
        <v>3.6000000000000004E-2</v>
      </c>
      <c r="H105" s="2">
        <f>IF(H$79=TRUE,1.837%,3.6%)</f>
        <v>3.6000000000000004E-2</v>
      </c>
      <c r="I105" s="2">
        <f>IF(I79=TRUE,3.069%,6%)</f>
        <v>0.06</v>
      </c>
      <c r="J105" s="2">
        <f>IF(J79=TRUE,3.124%,6%)</f>
        <v>0.06</v>
      </c>
      <c r="K105" s="2">
        <f>IF(K79=TRUE,3.105%,6%)</f>
        <v>0.06</v>
      </c>
      <c r="L105" s="2">
        <f>IF(L79=TRUE,3.03%,5.86%)</f>
        <v>5.8600000000000006E-2</v>
      </c>
      <c r="M105" s="26">
        <f>IF(M79=TRUE,3.355%,6.51%)</f>
        <v>6.5099999999999991E-2</v>
      </c>
      <c r="N105" s="2">
        <f>IF(N79=TRUE,3.358%,6.51%)</f>
        <v>6.5099999999999991E-2</v>
      </c>
      <c r="O105" s="2">
        <v>6.5100000000000005E-2</v>
      </c>
    </row>
    <row r="106" spans="1:15" x14ac:dyDescent="0.15">
      <c r="A106" s="9"/>
      <c r="B106" s="10"/>
      <c r="C106" s="10"/>
      <c r="D106" s="10"/>
      <c r="E106" s="10"/>
      <c r="F106" s="10"/>
      <c r="G106" s="11"/>
      <c r="H106" s="11"/>
      <c r="I106" s="2"/>
      <c r="J106" s="10"/>
      <c r="K106" s="10"/>
      <c r="L106" s="10"/>
      <c r="M106" s="180"/>
      <c r="N106" s="10"/>
      <c r="O106" s="10"/>
    </row>
    <row r="107" spans="1:15" x14ac:dyDescent="0.15">
      <c r="A107" s="8" t="s">
        <v>91</v>
      </c>
      <c r="B107" s="2">
        <f>IF(B$79=TRUE,740,1611)</f>
        <v>1611</v>
      </c>
      <c r="C107" s="2">
        <f>IF(C$79=TRUE,890,1723)</f>
        <v>1723</v>
      </c>
      <c r="D107" s="2">
        <f>IF(D$79=TRUE,1062,2097)</f>
        <v>2097</v>
      </c>
      <c r="E107" s="2">
        <f>IF(E$79=TRUE,1132,2220)</f>
        <v>2220</v>
      </c>
      <c r="F107" s="2">
        <f>IF(F$79=TRUE,1585,3103)</f>
        <v>3103</v>
      </c>
      <c r="G107" s="2">
        <f>IF(G$79=TRUE,1645,3223)</f>
        <v>3223</v>
      </c>
      <c r="H107" s="2">
        <f>IF(H$79=TRUE,1659,3249)</f>
        <v>3249</v>
      </c>
      <c r="I107" s="2">
        <f>IF(I79=TRUE,1745,3399)</f>
        <v>3399</v>
      </c>
      <c r="J107" s="2">
        <f>IF(J79=TRUE,1989,3819)</f>
        <v>3819</v>
      </c>
      <c r="K107" s="2">
        <f>IF(K79=TRUE,2178,4205)</f>
        <v>4205</v>
      </c>
      <c r="L107" s="2">
        <f>IF(L79=TRUE,2204,4260)</f>
        <v>4260</v>
      </c>
      <c r="M107" s="26">
        <f>IF(M79=TRUE,2604,5052)</f>
        <v>5052</v>
      </c>
      <c r="N107" s="2">
        <f>IF(N79=TRUE,2854,5532)</f>
        <v>5532</v>
      </c>
      <c r="O107" s="22">
        <v>5599</v>
      </c>
    </row>
    <row r="108" spans="1:15" x14ac:dyDescent="0.15">
      <c r="A108" s="8" t="s">
        <v>92</v>
      </c>
      <c r="B108" s="2">
        <f>IF(B$79=TRUE,704,740)</f>
        <v>740</v>
      </c>
      <c r="C108" s="2">
        <f>IF(C$79=TRUE,284,550)</f>
        <v>550</v>
      </c>
      <c r="D108" s="2">
        <f>IF(D$79=TRUE,186,367)</f>
        <v>367</v>
      </c>
      <c r="E108" s="2">
        <f>IF(E$79=TRUE,94,184)</f>
        <v>184</v>
      </c>
      <c r="F108" s="2">
        <v>0</v>
      </c>
      <c r="G108" s="2">
        <v>0</v>
      </c>
      <c r="H108" s="2">
        <v>0</v>
      </c>
      <c r="I108" s="2">
        <v>0</v>
      </c>
      <c r="J108" s="2">
        <v>0</v>
      </c>
      <c r="K108" s="2">
        <v>0</v>
      </c>
      <c r="L108" s="2">
        <v>0</v>
      </c>
      <c r="M108" s="26">
        <v>0</v>
      </c>
      <c r="N108" s="2">
        <v>0</v>
      </c>
      <c r="O108" s="22">
        <v>0</v>
      </c>
    </row>
    <row r="109" spans="1:15" x14ac:dyDescent="0.15">
      <c r="A109" s="8"/>
      <c r="B109" s="2"/>
      <c r="C109" s="2"/>
      <c r="D109" s="20"/>
      <c r="E109" s="2"/>
      <c r="F109" s="22"/>
      <c r="G109" s="14"/>
      <c r="H109" s="14"/>
      <c r="I109" s="2"/>
      <c r="J109" s="2"/>
      <c r="K109" s="2"/>
      <c r="L109" s="2"/>
      <c r="M109" s="173"/>
      <c r="N109" s="2"/>
      <c r="O109" s="22"/>
    </row>
    <row r="110" spans="1:15" x14ac:dyDescent="0.15">
      <c r="A110" s="9" t="s">
        <v>62</v>
      </c>
      <c r="B110" s="34">
        <v>0</v>
      </c>
      <c r="C110" s="34">
        <v>0</v>
      </c>
      <c r="D110" s="34">
        <v>5.0000000000000001E-3</v>
      </c>
      <c r="E110" s="34">
        <v>0.01</v>
      </c>
      <c r="F110" s="34">
        <v>1.4999999999999999E-2</v>
      </c>
      <c r="G110" s="34">
        <v>0.02</v>
      </c>
      <c r="H110" s="13">
        <v>2.4500000000000001E-2</v>
      </c>
      <c r="I110" s="13">
        <v>2.75E-2</v>
      </c>
      <c r="J110" s="13">
        <v>3.5000000000000003E-2</v>
      </c>
      <c r="K110" s="13">
        <v>6.5000000000000002E-2</v>
      </c>
      <c r="L110" s="153">
        <v>9.5000000000000001E-2</v>
      </c>
      <c r="M110" s="181">
        <f>M83-M82</f>
        <v>0.12569999999999998</v>
      </c>
      <c r="N110" s="34">
        <f>N83-N82</f>
        <v>0.12530000000000002</v>
      </c>
      <c r="O110" s="13">
        <v>0.1202</v>
      </c>
    </row>
    <row r="111" spans="1:15" x14ac:dyDescent="0.15">
      <c r="A111" s="9"/>
      <c r="B111" s="34"/>
      <c r="C111" s="34"/>
      <c r="D111" s="34"/>
      <c r="E111" s="34"/>
      <c r="F111" s="34"/>
      <c r="G111" s="34"/>
      <c r="H111" s="13"/>
      <c r="I111" s="34">
        <v>0</v>
      </c>
      <c r="J111" s="13">
        <v>3.5000000000000003E-2</v>
      </c>
      <c r="K111" s="13">
        <v>6.5000000000000002E-2</v>
      </c>
      <c r="L111" s="153">
        <v>9.5000000000000001E-2</v>
      </c>
      <c r="M111" s="181">
        <f>M110</f>
        <v>0.12569999999999998</v>
      </c>
      <c r="N111" s="34">
        <f>N110</f>
        <v>0.12530000000000002</v>
      </c>
      <c r="O111" s="13">
        <v>0.1202</v>
      </c>
    </row>
    <row r="112" spans="1:15" x14ac:dyDescent="0.15">
      <c r="A112" s="8"/>
      <c r="B112" s="2"/>
      <c r="C112" s="2"/>
      <c r="D112" s="2"/>
      <c r="E112" s="2"/>
      <c r="F112" s="2"/>
      <c r="G112" s="32"/>
      <c r="H112" s="32"/>
      <c r="I112" s="2"/>
      <c r="J112" s="13"/>
      <c r="K112" s="13"/>
      <c r="L112" s="153"/>
      <c r="M112" s="26"/>
      <c r="N112" s="2"/>
      <c r="O112" s="2"/>
    </row>
    <row r="113" spans="1:15" x14ac:dyDescent="0.15">
      <c r="A113" s="9" t="s">
        <v>66</v>
      </c>
      <c r="B113" s="33">
        <v>2012</v>
      </c>
      <c r="C113" s="33">
        <v>2013</v>
      </c>
      <c r="D113" s="33">
        <v>2014</v>
      </c>
      <c r="E113" s="33">
        <v>2015</v>
      </c>
      <c r="F113" s="33">
        <v>2016</v>
      </c>
      <c r="G113" s="33">
        <v>2017</v>
      </c>
      <c r="H113" s="33">
        <v>2018</v>
      </c>
      <c r="I113" s="33">
        <v>2019</v>
      </c>
      <c r="J113" s="33">
        <v>2020</v>
      </c>
      <c r="K113" s="33">
        <v>2021</v>
      </c>
      <c r="L113" s="33">
        <v>2022</v>
      </c>
      <c r="M113" s="171">
        <v>2023</v>
      </c>
      <c r="N113" s="33">
        <v>2024</v>
      </c>
      <c r="O113" s="33">
        <v>2025</v>
      </c>
    </row>
    <row r="114" spans="1:15" x14ac:dyDescent="0.15">
      <c r="A114" s="8" t="s">
        <v>51</v>
      </c>
      <c r="B114" s="2">
        <v>4814</v>
      </c>
      <c r="C114" s="2">
        <v>4814</v>
      </c>
      <c r="D114" s="2">
        <v>4814</v>
      </c>
      <c r="E114" s="2">
        <v>4857</v>
      </c>
      <c r="F114" s="2">
        <v>4881</v>
      </c>
      <c r="G114" s="2">
        <v>4895</v>
      </c>
      <c r="H114" s="2">
        <v>4934</v>
      </c>
      <c r="I114" s="2">
        <v>4993</v>
      </c>
      <c r="J114" s="2">
        <v>5072</v>
      </c>
      <c r="K114" s="2">
        <v>5153</v>
      </c>
      <c r="L114" s="2">
        <v>5219</v>
      </c>
      <c r="M114" s="26">
        <v>5547</v>
      </c>
      <c r="N114" s="2">
        <v>6074</v>
      </c>
      <c r="O114" s="2">
        <v>6145</v>
      </c>
    </row>
    <row r="115" spans="1:15" x14ac:dyDescent="0.15">
      <c r="A115" s="8" t="s">
        <v>52</v>
      </c>
      <c r="B115" s="2">
        <v>32539</v>
      </c>
      <c r="C115" s="2">
        <v>32539</v>
      </c>
      <c r="D115" s="2">
        <v>32539</v>
      </c>
      <c r="E115" s="2">
        <v>32832</v>
      </c>
      <c r="F115" s="2">
        <v>32969</v>
      </c>
      <c r="G115" s="2">
        <v>33065</v>
      </c>
      <c r="H115" s="2">
        <v>33331</v>
      </c>
      <c r="I115" s="2">
        <v>29753</v>
      </c>
      <c r="J115" s="2">
        <v>30234</v>
      </c>
      <c r="K115" s="2">
        <v>29738</v>
      </c>
      <c r="L115" s="2">
        <v>27350</v>
      </c>
      <c r="M115" s="26">
        <v>29075</v>
      </c>
      <c r="N115" s="2">
        <v>31838</v>
      </c>
      <c r="O115" s="2">
        <v>32223</v>
      </c>
    </row>
    <row r="116" spans="1:15" x14ac:dyDescent="0.15">
      <c r="A116" s="8" t="s">
        <v>93</v>
      </c>
      <c r="B116" s="35">
        <f>IF(B79=TRUE,1.837%,4%)</f>
        <v>0.04</v>
      </c>
      <c r="C116" s="35">
        <f>IF(C79=TRUE,2.064%,4%)</f>
        <v>0.04</v>
      </c>
      <c r="D116" s="35">
        <f>IF(D79=TRUE,2.038%,4%)</f>
        <v>0.04</v>
      </c>
      <c r="E116" s="35">
        <f>IF(E79=TRUE,2.037%,4%)</f>
        <v>0.04</v>
      </c>
      <c r="F116" s="35">
        <f>IF(F79=TRUE,3.143%,6.159%)</f>
        <v>6.1589999999999999E-2</v>
      </c>
      <c r="G116" s="35">
        <f>IF(G79=TRUE,3.143%,6.159%)</f>
        <v>6.1589999999999999E-2</v>
      </c>
      <c r="H116" s="35">
        <f>IF(H79=TRUE,3.143%,6.159%)</f>
        <v>6.1589999999999999E-2</v>
      </c>
      <c r="I116" s="35">
        <f>IF(I79=TRUE,5.86%,11.45%)</f>
        <v>0.11449999999999999</v>
      </c>
      <c r="J116" s="35">
        <f>IF(J79=TRUE,5.963%,11.45%)</f>
        <v>0.11449999999999999</v>
      </c>
      <c r="K116" s="35">
        <f>IF(K79=TRUE,5.963%,11.45%)</f>
        <v>0.11449999999999999</v>
      </c>
      <c r="L116" s="170">
        <f>IF(L79=TRUE,5.921%,11.45%)</f>
        <v>0.11449999999999999</v>
      </c>
      <c r="M116" s="182">
        <f>IF(M79=TRUE,5.921%,11.45%)</f>
        <v>0.11449999999999999</v>
      </c>
      <c r="N116" s="37">
        <v>0.1145</v>
      </c>
      <c r="O116" s="37">
        <v>0.1145</v>
      </c>
    </row>
    <row r="117" spans="1:15" x14ac:dyDescent="0.15">
      <c r="A117" s="8" t="s">
        <v>58</v>
      </c>
      <c r="B117" s="2">
        <f>IF($B$37=TRUE,IF(B79=TRUE,471,1024),0)</f>
        <v>0</v>
      </c>
      <c r="C117" s="2">
        <f>IF($B$37=TRUE,IF(C79=TRUE,529,1024),0)</f>
        <v>0</v>
      </c>
      <c r="D117" s="2">
        <f>IF($B$37=TRUE,IF(D79=TRUE,528,1024),0)</f>
        <v>0</v>
      </c>
      <c r="E117" s="2">
        <f>IF($B$37=TRUE,IF(E79=TRUE,528,1033),0)</f>
        <v>0</v>
      </c>
      <c r="F117" s="2">
        <f>IF($B$37=TRUE,IF(F79=TRUE,531,1039),0)</f>
        <v>0</v>
      </c>
      <c r="G117" s="2">
        <f>IF($B$37=TRUE,IF(G79=TRUE,533,1043),0)</f>
        <v>0</v>
      </c>
      <c r="H117" s="2">
        <f>IF($B$37=TRUE,IF(H79=TRUE,537,1052),0)</f>
        <v>0</v>
      </c>
      <c r="I117" s="2">
        <f>IF($B$37=TRUE,IF(I79=TRUE,0,0),0)</f>
        <v>0</v>
      </c>
      <c r="J117" s="2">
        <f>IF($B$37=TRUE,IF(J79=TRUE,0,0),0)</f>
        <v>0</v>
      </c>
      <c r="K117" s="2">
        <f>IF($B$37=TRUE,IF(K79=TRUE,0,0),0)</f>
        <v>0</v>
      </c>
      <c r="L117" s="2">
        <v>0</v>
      </c>
      <c r="M117" s="26">
        <v>0</v>
      </c>
      <c r="N117" s="2">
        <v>0</v>
      </c>
      <c r="O117" s="22">
        <v>0</v>
      </c>
    </row>
    <row r="118" spans="1:15" x14ac:dyDescent="0.15">
      <c r="A118" s="8" t="s">
        <v>57</v>
      </c>
      <c r="B118" s="2">
        <f>IF(B$79=TRUE,980,2133)</f>
        <v>2133</v>
      </c>
      <c r="C118" s="2">
        <f>IF(C$79=TRUE,1102,2133)</f>
        <v>2133</v>
      </c>
      <c r="D118" s="2">
        <f>IF(D$79=TRUE,1081,2133)</f>
        <v>2133</v>
      </c>
      <c r="E118" s="2">
        <f>IF(E$79=TRUE,1098,2152)</f>
        <v>2152</v>
      </c>
      <c r="F118" s="2">
        <f>IF(F$79=TRUE,1413,2769)</f>
        <v>2769</v>
      </c>
      <c r="G118" s="2">
        <f>IF(G$79=TRUE,1418,2778)</f>
        <v>2778</v>
      </c>
      <c r="H118" s="2">
        <f>IF(H$79=TRUE,1431,2801)</f>
        <v>2801</v>
      </c>
      <c r="I118" s="2">
        <f>IF(I79=TRUE,1452,2835)</f>
        <v>2835</v>
      </c>
      <c r="J118" s="2">
        <f>IF(J79=TRUE,1452,2881)</f>
        <v>2881</v>
      </c>
      <c r="K118" s="2">
        <f>IF(K79=TRUE,1452,2815)</f>
        <v>2815</v>
      </c>
      <c r="L118" s="2">
        <f>IF(L79=TRUE,1311,2534)</f>
        <v>2534</v>
      </c>
      <c r="M118" s="26">
        <f>IF(M79=TRUE,1394,2694)</f>
        <v>2694</v>
      </c>
      <c r="N118" s="2">
        <v>2950</v>
      </c>
      <c r="O118" s="22">
        <v>2986</v>
      </c>
    </row>
    <row r="119" spans="1:15" x14ac:dyDescent="0.15">
      <c r="A119" s="8"/>
      <c r="B119" s="2"/>
      <c r="C119" s="2"/>
      <c r="D119" s="20"/>
      <c r="E119" s="2"/>
      <c r="F119" s="22"/>
      <c r="G119" s="14"/>
      <c r="H119" s="14"/>
      <c r="I119" s="2"/>
      <c r="J119" s="2"/>
      <c r="K119" s="2"/>
      <c r="L119" s="2"/>
      <c r="M119" s="173"/>
      <c r="N119" s="2"/>
      <c r="O119" s="22"/>
    </row>
    <row r="120" spans="1:15" x14ac:dyDescent="0.15">
      <c r="A120" s="33" t="s">
        <v>94</v>
      </c>
      <c r="B120" s="33">
        <v>2012</v>
      </c>
      <c r="C120" s="33">
        <v>2013</v>
      </c>
      <c r="D120" s="33">
        <v>2014</v>
      </c>
      <c r="E120" s="33">
        <v>2015</v>
      </c>
      <c r="F120" s="33">
        <v>2016</v>
      </c>
      <c r="G120" s="33">
        <v>2017</v>
      </c>
      <c r="H120" s="33">
        <v>2018</v>
      </c>
      <c r="I120" s="33">
        <v>2019</v>
      </c>
      <c r="J120" s="33">
        <v>2020</v>
      </c>
      <c r="K120" s="33">
        <v>2021</v>
      </c>
      <c r="L120" s="33">
        <v>2022</v>
      </c>
      <c r="M120" s="171">
        <v>2023</v>
      </c>
      <c r="N120" s="33">
        <v>2024</v>
      </c>
      <c r="O120" s="33">
        <v>2025</v>
      </c>
    </row>
    <row r="121" spans="1:15" x14ac:dyDescent="0.15">
      <c r="A121" s="8" t="s">
        <v>95</v>
      </c>
      <c r="B121" s="13">
        <v>7.0999999999999994E-2</v>
      </c>
      <c r="C121" s="13">
        <v>7.7499999999999999E-2</v>
      </c>
      <c r="D121" s="13">
        <v>7.4999999999999997E-2</v>
      </c>
      <c r="E121" s="13">
        <v>6.9500000000000006E-2</v>
      </c>
      <c r="F121" s="13">
        <v>6.7500000000000004E-2</v>
      </c>
      <c r="G121" s="13">
        <v>6.6500000000000004E-2</v>
      </c>
      <c r="H121" s="13">
        <v>6.9000000000000006E-2</v>
      </c>
      <c r="I121" s="20">
        <v>6.9500000000000006E-2</v>
      </c>
      <c r="J121" s="20">
        <v>6.7000000000000004E-2</v>
      </c>
      <c r="K121" s="20">
        <v>7.0000000000000007E-2</v>
      </c>
      <c r="L121" s="20">
        <v>6.7500000000000004E-2</v>
      </c>
      <c r="M121" s="173">
        <v>6.6799999999999998E-2</v>
      </c>
      <c r="N121" s="185">
        <v>6.5699999999999995E-2</v>
      </c>
      <c r="O121" s="20">
        <v>6.5100000000000005E-2</v>
      </c>
    </row>
    <row r="122" spans="1:15" x14ac:dyDescent="0.15">
      <c r="A122" s="8" t="s">
        <v>96</v>
      </c>
      <c r="B122" s="38">
        <v>0.05</v>
      </c>
      <c r="C122" s="38">
        <v>5.6500000000000002E-2</v>
      </c>
      <c r="D122" s="38">
        <v>5.3999999999999999E-2</v>
      </c>
      <c r="E122" s="38">
        <v>4.8500000000000001E-2</v>
      </c>
      <c r="F122" s="13">
        <v>5.5E-2</v>
      </c>
      <c r="G122" s="13">
        <v>5.3999999999999999E-2</v>
      </c>
      <c r="H122" s="13">
        <v>5.6500000000000002E-2</v>
      </c>
      <c r="I122" s="20">
        <v>5.7000000000000002E-2</v>
      </c>
      <c r="J122" s="20">
        <v>5.45E-2</v>
      </c>
      <c r="K122" s="20">
        <v>5.7500000000000002E-2</v>
      </c>
      <c r="L122" s="20">
        <v>5.5E-2</v>
      </c>
      <c r="M122" s="173">
        <v>5.4300000000000001E-2</v>
      </c>
      <c r="N122" s="185">
        <v>5.3199999999999997E-2</v>
      </c>
      <c r="O122" s="20">
        <v>5.2600000000000001E-2</v>
      </c>
    </row>
    <row r="123" spans="1:15" x14ac:dyDescent="0.15">
      <c r="A123" s="8" t="s">
        <v>97</v>
      </c>
      <c r="B123" s="61">
        <v>50064</v>
      </c>
      <c r="C123" s="61">
        <v>50853</v>
      </c>
      <c r="D123" s="61">
        <v>51414</v>
      </c>
      <c r="E123" s="61">
        <v>51976</v>
      </c>
      <c r="F123" s="61">
        <v>52763</v>
      </c>
      <c r="G123" s="62">
        <v>53701</v>
      </c>
      <c r="H123" s="63">
        <v>54614</v>
      </c>
      <c r="I123" s="63">
        <v>55923</v>
      </c>
      <c r="J123" s="50">
        <v>57232</v>
      </c>
      <c r="K123" s="50">
        <v>58311</v>
      </c>
      <c r="L123" s="50">
        <v>59706</v>
      </c>
      <c r="M123" s="172">
        <v>66952</v>
      </c>
      <c r="N123" s="172">
        <v>71628</v>
      </c>
      <c r="O123" s="50">
        <v>75864</v>
      </c>
    </row>
    <row r="124" spans="1:15" x14ac:dyDescent="0.15">
      <c r="A124" s="8"/>
      <c r="B124" s="2"/>
      <c r="C124" s="2"/>
      <c r="D124" s="20"/>
      <c r="E124" s="2"/>
      <c r="F124" s="22"/>
      <c r="G124" s="14"/>
      <c r="H124" s="14"/>
      <c r="I124" s="2"/>
      <c r="J124" s="2"/>
      <c r="K124" s="2"/>
      <c r="L124" s="2"/>
      <c r="M124" s="173"/>
      <c r="N124" s="2"/>
      <c r="O124" s="22"/>
    </row>
    <row r="125" spans="1:15" x14ac:dyDescent="0.15">
      <c r="A125" s="9" t="s">
        <v>71</v>
      </c>
      <c r="B125" s="33">
        <v>2012</v>
      </c>
      <c r="C125" s="33">
        <v>2013</v>
      </c>
      <c r="D125" s="33">
        <v>2014</v>
      </c>
      <c r="E125" s="33">
        <v>2015</v>
      </c>
      <c r="F125" s="33">
        <v>2016</v>
      </c>
      <c r="G125" s="33">
        <v>2017</v>
      </c>
      <c r="H125" s="33">
        <v>2018</v>
      </c>
      <c r="I125" s="33">
        <v>2019</v>
      </c>
      <c r="J125" s="33">
        <v>2020</v>
      </c>
      <c r="K125" s="33">
        <v>2021</v>
      </c>
      <c r="L125" s="33">
        <v>2022</v>
      </c>
      <c r="M125" s="171">
        <v>2023</v>
      </c>
      <c r="N125" s="33">
        <v>2024</v>
      </c>
      <c r="O125" s="33">
        <v>2025</v>
      </c>
    </row>
    <row r="126" spans="1:15" x14ac:dyDescent="0.15">
      <c r="A126" s="8" t="s">
        <v>7</v>
      </c>
      <c r="B126" s="39">
        <v>0.12</v>
      </c>
      <c r="C126" s="39">
        <v>0.12</v>
      </c>
      <c r="D126" s="20">
        <v>0.109</v>
      </c>
      <c r="E126" s="13">
        <v>9.8000000000000004E-2</v>
      </c>
      <c r="F126" s="13">
        <v>9.8000000000000004E-2</v>
      </c>
      <c r="G126" s="13">
        <v>9.8000000000000004E-2</v>
      </c>
      <c r="H126" s="13">
        <v>9.4399999999999998E-2</v>
      </c>
      <c r="I126" s="13">
        <v>9.4399999999999998E-2</v>
      </c>
      <c r="J126" s="13">
        <f>I126</f>
        <v>9.4399999999999998E-2</v>
      </c>
      <c r="K126" s="13">
        <f t="shared" ref="K126:L126" si="2">J126</f>
        <v>9.4399999999999998E-2</v>
      </c>
      <c r="L126" s="154">
        <f t="shared" si="2"/>
        <v>9.4399999999999998E-2</v>
      </c>
      <c r="M126" s="181">
        <v>0</v>
      </c>
      <c r="N126" s="188">
        <f t="shared" ref="N126:N127" si="3">M126</f>
        <v>0</v>
      </c>
      <c r="O126" s="13">
        <f t="shared" ref="O126:O127" si="4">N126</f>
        <v>0</v>
      </c>
    </row>
    <row r="127" spans="1:15" x14ac:dyDescent="0.15">
      <c r="A127" s="8" t="s">
        <v>98</v>
      </c>
      <c r="B127" s="50">
        <v>9542</v>
      </c>
      <c r="C127" s="50">
        <v>9542</v>
      </c>
      <c r="D127" s="50">
        <v>9542</v>
      </c>
      <c r="E127" s="50">
        <v>8631</v>
      </c>
      <c r="F127" s="50">
        <v>8774</v>
      </c>
      <c r="G127" s="50">
        <v>8946</v>
      </c>
      <c r="H127" s="50">
        <v>8775</v>
      </c>
      <c r="I127" s="50">
        <v>8999</v>
      </c>
      <c r="J127" s="50">
        <v>9218</v>
      </c>
      <c r="K127" s="50">
        <v>9395</v>
      </c>
      <c r="L127" s="50">
        <v>9632</v>
      </c>
      <c r="M127" s="172">
        <v>0</v>
      </c>
      <c r="N127" s="189">
        <f t="shared" si="3"/>
        <v>0</v>
      </c>
      <c r="O127" s="50">
        <f t="shared" si="4"/>
        <v>0</v>
      </c>
    </row>
    <row r="128" spans="1:15" x14ac:dyDescent="0.15">
      <c r="A128" s="8"/>
      <c r="B128" s="2"/>
      <c r="C128" s="2"/>
      <c r="D128" s="2"/>
      <c r="E128" s="2"/>
      <c r="F128" s="2"/>
      <c r="G128" s="32"/>
      <c r="H128" s="32"/>
      <c r="I128" s="2"/>
      <c r="J128" s="2"/>
      <c r="K128" s="2"/>
      <c r="L128" s="2"/>
      <c r="M128" s="26"/>
      <c r="N128" s="2"/>
      <c r="O128" s="2"/>
    </row>
    <row r="129" spans="1:15" x14ac:dyDescent="0.15">
      <c r="A129" s="33"/>
      <c r="B129" s="33">
        <v>2012</v>
      </c>
      <c r="C129" s="33">
        <v>2013</v>
      </c>
      <c r="D129" s="33">
        <v>2014</v>
      </c>
      <c r="E129" s="33">
        <v>2015</v>
      </c>
      <c r="F129" s="33">
        <v>2016</v>
      </c>
      <c r="G129" s="33">
        <v>2017</v>
      </c>
      <c r="H129" s="33">
        <v>2018</v>
      </c>
      <c r="I129" s="33">
        <v>2019</v>
      </c>
      <c r="J129" s="33">
        <v>2020</v>
      </c>
      <c r="K129" s="33">
        <v>2021</v>
      </c>
      <c r="L129" s="33">
        <v>2022</v>
      </c>
      <c r="M129" s="171">
        <v>2023</v>
      </c>
      <c r="N129" s="33">
        <v>2024</v>
      </c>
      <c r="O129" s="33">
        <v>2025</v>
      </c>
    </row>
    <row r="130" spans="1:15" x14ac:dyDescent="0.15">
      <c r="A130" s="9" t="s">
        <v>9</v>
      </c>
      <c r="B130" s="2">
        <f t="shared" ref="B130:G130" si="5">IF($B$79,3640,7280)</f>
        <v>7280</v>
      </c>
      <c r="C130" s="2">
        <f t="shared" si="5"/>
        <v>7280</v>
      </c>
      <c r="D130" s="2">
        <f t="shared" si="5"/>
        <v>7280</v>
      </c>
      <c r="E130" s="2">
        <f t="shared" si="5"/>
        <v>7280</v>
      </c>
      <c r="F130" s="2">
        <f t="shared" si="5"/>
        <v>7280</v>
      </c>
      <c r="G130" s="2">
        <f t="shared" si="5"/>
        <v>7280</v>
      </c>
      <c r="H130" s="2">
        <f t="shared" ref="H130" si="6">IF(H$79,3640,7280)</f>
        <v>7280</v>
      </c>
      <c r="I130" s="2">
        <f>IF(I79,3640,7280)</f>
        <v>7280</v>
      </c>
      <c r="J130" s="2">
        <f>I130-250</f>
        <v>7030</v>
      </c>
      <c r="K130" s="2">
        <f>IF(K79,3335,6670)</f>
        <v>6670</v>
      </c>
      <c r="L130" s="2">
        <f>K130-360</f>
        <v>6310</v>
      </c>
      <c r="M130" s="26">
        <v>5030</v>
      </c>
      <c r="N130" s="186">
        <f>M130-1280</f>
        <v>3750</v>
      </c>
      <c r="O130" s="2">
        <v>2470</v>
      </c>
    </row>
    <row r="131" spans="1:15" x14ac:dyDescent="0.15">
      <c r="A131" s="9" t="s">
        <v>10</v>
      </c>
      <c r="B131" s="2">
        <f t="shared" ref="B131:G131" si="7">IF($B$79,1062,2123)</f>
        <v>2123</v>
      </c>
      <c r="C131" s="2">
        <f t="shared" si="7"/>
        <v>2123</v>
      </c>
      <c r="D131" s="2">
        <f t="shared" si="7"/>
        <v>2123</v>
      </c>
      <c r="E131" s="2">
        <f t="shared" si="7"/>
        <v>2123</v>
      </c>
      <c r="F131" s="2">
        <f t="shared" si="7"/>
        <v>2123</v>
      </c>
      <c r="G131" s="2">
        <f t="shared" si="7"/>
        <v>2123</v>
      </c>
      <c r="H131" s="2">
        <f t="shared" ref="H131" si="8">IF(H$79,1062,2123)</f>
        <v>2123</v>
      </c>
      <c r="I131" s="2">
        <f>IF(I79,1062,2123)</f>
        <v>2123</v>
      </c>
      <c r="J131" s="2">
        <f>IF(J79,1062,2123)</f>
        <v>2123</v>
      </c>
      <c r="K131" s="2">
        <f>IF(K79,1062,2123)</f>
        <v>2123</v>
      </c>
      <c r="L131" s="2">
        <f t="shared" ref="L131" si="9">IF(L79,1062,2123)</f>
        <v>2123</v>
      </c>
      <c r="M131" s="183">
        <v>2123</v>
      </c>
      <c r="N131" s="61">
        <f>N130*50%</f>
        <v>1875</v>
      </c>
      <c r="O131" s="10">
        <v>2123</v>
      </c>
    </row>
    <row r="132" spans="1:15" x14ac:dyDescent="0.15">
      <c r="A132" s="9" t="s">
        <v>99</v>
      </c>
      <c r="B132" s="2"/>
      <c r="C132" s="2"/>
      <c r="D132" s="20"/>
      <c r="E132" s="2"/>
      <c r="F132" s="22"/>
      <c r="G132" s="14"/>
      <c r="H132" s="14"/>
      <c r="I132" s="2"/>
      <c r="J132" s="2"/>
      <c r="K132" s="2"/>
      <c r="L132" s="2"/>
      <c r="M132" s="173"/>
      <c r="N132" s="2"/>
      <c r="O132" s="22"/>
    </row>
    <row r="133" spans="1:15" x14ac:dyDescent="0.15">
      <c r="A133" s="8"/>
      <c r="B133" s="2"/>
      <c r="C133" s="2"/>
      <c r="D133" s="20"/>
      <c r="E133" s="2"/>
      <c r="F133" s="22"/>
      <c r="G133" s="14"/>
      <c r="H133" s="14"/>
      <c r="I133" s="2"/>
      <c r="J133" s="2"/>
      <c r="K133" s="2"/>
      <c r="L133" s="2"/>
      <c r="M133" s="173"/>
      <c r="N133" s="2"/>
      <c r="O133" s="22"/>
    </row>
    <row r="134" spans="1:15" x14ac:dyDescent="0.15">
      <c r="A134" s="9" t="s">
        <v>12</v>
      </c>
      <c r="B134" s="33">
        <v>2012</v>
      </c>
      <c r="C134" s="33">
        <v>2013</v>
      </c>
      <c r="D134" s="33">
        <v>2014</v>
      </c>
      <c r="E134" s="33">
        <v>2015</v>
      </c>
      <c r="F134" s="33">
        <v>2016</v>
      </c>
      <c r="G134" s="33">
        <v>2017</v>
      </c>
      <c r="H134" s="33">
        <v>2018</v>
      </c>
      <c r="I134" s="33">
        <v>2019</v>
      </c>
      <c r="J134" s="33">
        <v>2020</v>
      </c>
      <c r="K134" s="33">
        <v>2021</v>
      </c>
      <c r="L134" s="33">
        <v>2022</v>
      </c>
      <c r="M134" s="171">
        <v>2023</v>
      </c>
      <c r="N134" s="33">
        <v>2024</v>
      </c>
      <c r="O134" s="33">
        <v>2025</v>
      </c>
    </row>
    <row r="135" spans="1:15" x14ac:dyDescent="0.15">
      <c r="A135" s="8"/>
      <c r="B135" s="19">
        <v>0.12</v>
      </c>
      <c r="C135" s="19">
        <v>0.14000000000000001</v>
      </c>
      <c r="D135" s="19">
        <v>0.14000000000000001</v>
      </c>
      <c r="E135" s="19">
        <v>0.14000000000000001</v>
      </c>
      <c r="F135" s="19">
        <v>0.14000000000000001</v>
      </c>
      <c r="G135" s="19">
        <v>0.14000000000000001</v>
      </c>
      <c r="H135" s="19">
        <v>0.14000000000000001</v>
      </c>
      <c r="I135" s="19">
        <v>0.14000000000000001</v>
      </c>
      <c r="J135" s="19">
        <v>0.14000000000000001</v>
      </c>
      <c r="K135" s="19">
        <v>0.14000000000000001</v>
      </c>
      <c r="L135" s="19">
        <v>0.14000000000000001</v>
      </c>
      <c r="M135" s="174">
        <v>0.14000000000000001</v>
      </c>
      <c r="N135" s="19">
        <v>0.1331</v>
      </c>
      <c r="O135" s="20">
        <v>0.127</v>
      </c>
    </row>
    <row r="136" spans="1:15" x14ac:dyDescent="0.15">
      <c r="A136" s="8"/>
      <c r="B136" s="2"/>
      <c r="C136" s="2"/>
      <c r="D136" s="2"/>
      <c r="E136" s="2"/>
      <c r="F136" s="2"/>
      <c r="G136" s="32"/>
      <c r="H136" s="32"/>
      <c r="I136" s="2"/>
      <c r="J136" s="2"/>
      <c r="K136" s="2"/>
      <c r="L136" s="2"/>
      <c r="M136" s="26"/>
      <c r="N136" s="2"/>
      <c r="O136" s="2"/>
    </row>
    <row r="137" spans="1:15" x14ac:dyDescent="0.15">
      <c r="A137" s="9" t="s">
        <v>6</v>
      </c>
      <c r="B137" s="33">
        <v>2012</v>
      </c>
      <c r="C137" s="33">
        <v>2013</v>
      </c>
      <c r="D137" s="33">
        <v>2014</v>
      </c>
      <c r="E137" s="33">
        <v>2015</v>
      </c>
      <c r="F137" s="33">
        <v>2016</v>
      </c>
      <c r="G137" s="33">
        <v>2017</v>
      </c>
      <c r="H137" s="33">
        <v>2018</v>
      </c>
      <c r="I137" s="33">
        <v>2019</v>
      </c>
      <c r="J137" s="33">
        <v>2020</v>
      </c>
      <c r="K137" s="33">
        <v>2021</v>
      </c>
      <c r="L137" s="33">
        <v>2022</v>
      </c>
      <c r="M137" s="171">
        <v>2023</v>
      </c>
      <c r="N137" s="33">
        <v>2024</v>
      </c>
      <c r="O137" s="33">
        <v>2025</v>
      </c>
    </row>
    <row r="138" spans="1:15" x14ac:dyDescent="0.15">
      <c r="A138" s="8" t="s">
        <v>100</v>
      </c>
      <c r="B138" s="64">
        <v>1040000</v>
      </c>
      <c r="C138" s="64">
        <v>1040000</v>
      </c>
      <c r="D138" s="64">
        <v>1040000</v>
      </c>
      <c r="E138" s="64">
        <v>1050000</v>
      </c>
      <c r="F138" s="64">
        <v>1050000</v>
      </c>
      <c r="G138" s="64">
        <v>1060000</v>
      </c>
      <c r="H138" s="64">
        <v>1060000</v>
      </c>
      <c r="I138" s="64">
        <v>1080000</v>
      </c>
      <c r="J138" s="64">
        <v>1090000</v>
      </c>
      <c r="K138" s="64">
        <v>1110000</v>
      </c>
      <c r="L138" s="64">
        <v>1130000</v>
      </c>
      <c r="M138" s="184">
        <v>1200000</v>
      </c>
      <c r="N138" s="187">
        <v>1310000</v>
      </c>
      <c r="O138" s="64">
        <v>1330000</v>
      </c>
    </row>
    <row r="139" spans="1:15" x14ac:dyDescent="0.15">
      <c r="A139" s="8">
        <v>12500</v>
      </c>
      <c r="B139" s="20">
        <v>2E-3</v>
      </c>
      <c r="C139" s="20">
        <v>2E-3</v>
      </c>
      <c r="D139" s="20">
        <v>2.5000000000000001E-3</v>
      </c>
      <c r="E139" s="20">
        <v>3.0000000000000001E-3</v>
      </c>
      <c r="F139" s="20">
        <v>3.0000000000000001E-3</v>
      </c>
      <c r="G139" s="20">
        <v>3.0000000000000001E-3</v>
      </c>
      <c r="H139" s="20">
        <v>2.5000000000000001E-3</v>
      </c>
      <c r="I139" s="20">
        <v>2.5000000000000001E-3</v>
      </c>
      <c r="J139" s="20">
        <v>2E-3</v>
      </c>
      <c r="K139" s="20">
        <v>2E-3</v>
      </c>
      <c r="L139" s="20">
        <v>1.5E-3</v>
      </c>
      <c r="M139" s="173">
        <v>1E-3</v>
      </c>
      <c r="N139" s="2">
        <v>1E-3</v>
      </c>
      <c r="O139" s="2">
        <v>1E-3</v>
      </c>
    </row>
    <row r="140" spans="1:15" x14ac:dyDescent="0.15">
      <c r="A140" s="8">
        <v>25000</v>
      </c>
      <c r="B140" s="65">
        <v>3.5000000000000001E-3</v>
      </c>
      <c r="C140" s="65">
        <v>3.5000000000000001E-3</v>
      </c>
      <c r="D140" s="65">
        <v>4.0000000000000001E-3</v>
      </c>
      <c r="E140" s="65">
        <v>4.4999999999999997E-3</v>
      </c>
      <c r="F140" s="65">
        <v>4.4999999999999997E-3</v>
      </c>
      <c r="G140" s="65">
        <v>4.4999999999999997E-3</v>
      </c>
      <c r="H140" s="65">
        <v>4.0000000000000001E-3</v>
      </c>
      <c r="I140" s="48">
        <v>3.5000000000000001E-3</v>
      </c>
      <c r="J140" s="48">
        <v>3.5000000000000001E-3</v>
      </c>
      <c r="K140" s="48">
        <v>3.0000000000000001E-3</v>
      </c>
      <c r="L140" s="48">
        <v>2.5000000000000001E-3</v>
      </c>
      <c r="M140" s="48">
        <v>2E-3</v>
      </c>
      <c r="N140" s="61">
        <v>2E-3</v>
      </c>
      <c r="O140" s="61">
        <v>2E-3</v>
      </c>
    </row>
    <row r="141" spans="1:15" x14ac:dyDescent="0.15">
      <c r="A141" s="8">
        <v>50000</v>
      </c>
      <c r="B141" s="20">
        <v>4.4999999999999997E-3</v>
      </c>
      <c r="C141" s="20">
        <v>4.4999999999999997E-3</v>
      </c>
      <c r="D141" s="20">
        <v>5.4999999999999997E-3</v>
      </c>
      <c r="E141" s="20">
        <v>6.0000000000000001E-3</v>
      </c>
      <c r="F141" s="20">
        <v>6.0000000000000001E-3</v>
      </c>
      <c r="G141" s="20">
        <v>6.0000000000000001E-3</v>
      </c>
      <c r="H141" s="20">
        <v>5.4999999999999997E-3</v>
      </c>
      <c r="I141" s="48">
        <v>5.0000000000000001E-3</v>
      </c>
      <c r="J141" s="48">
        <v>4.4999999999999997E-3</v>
      </c>
      <c r="K141" s="48">
        <v>4.0000000000000001E-3</v>
      </c>
      <c r="L141" s="48">
        <v>3.5000000000000001E-3</v>
      </c>
      <c r="M141" s="48">
        <v>2.5000000000000001E-3</v>
      </c>
      <c r="N141" s="2">
        <v>2.5000000000000001E-3</v>
      </c>
      <c r="O141" s="22">
        <v>2.5000000000000001E-3</v>
      </c>
    </row>
    <row r="142" spans="1:15" x14ac:dyDescent="0.15">
      <c r="A142" s="8">
        <v>75000</v>
      </c>
      <c r="B142" s="20">
        <v>6.0000000000000001E-3</v>
      </c>
      <c r="C142" s="20">
        <v>6.0000000000000001E-3</v>
      </c>
      <c r="D142" s="20">
        <v>7.0000000000000001E-3</v>
      </c>
      <c r="E142" s="20">
        <v>7.4999999999999997E-3</v>
      </c>
      <c r="F142" s="20">
        <v>7.4999999999999997E-3</v>
      </c>
      <c r="G142" s="20">
        <v>7.4999999999999997E-3</v>
      </c>
      <c r="H142" s="20">
        <v>7.0000000000000001E-3</v>
      </c>
      <c r="I142" s="48">
        <v>6.4999999999999997E-3</v>
      </c>
      <c r="J142" s="48">
        <v>6.0000000000000001E-3</v>
      </c>
      <c r="K142" s="48">
        <v>5.0000000000000001E-3</v>
      </c>
      <c r="L142" s="48">
        <v>4.4999999999999997E-3</v>
      </c>
      <c r="M142" s="48">
        <v>3.5000000000000001E-3</v>
      </c>
      <c r="N142" s="2">
        <v>3.5000000000000001E-3</v>
      </c>
      <c r="O142" s="22">
        <v>3.5000000000000001E-3</v>
      </c>
    </row>
    <row r="143" spans="1:15" x14ac:dyDescent="0.15">
      <c r="A143" s="8">
        <f>LOOKUP(A1,B137:O137,B138:O138)</f>
        <v>1330000</v>
      </c>
      <c r="B143" s="20">
        <v>1.2999999999999999E-2</v>
      </c>
      <c r="C143" s="20">
        <v>1.55E-2</v>
      </c>
      <c r="D143" s="20">
        <v>1.7999999999999999E-2</v>
      </c>
      <c r="E143" s="20">
        <v>2.0500000000000001E-2</v>
      </c>
      <c r="F143" s="20">
        <v>2.35E-2</v>
      </c>
      <c r="G143" s="20">
        <v>2.35E-2</v>
      </c>
      <c r="H143" s="20">
        <v>2.35E-2</v>
      </c>
      <c r="I143" s="48">
        <v>2.35E-2</v>
      </c>
      <c r="J143" s="48">
        <v>2.35E-2</v>
      </c>
      <c r="K143" s="48">
        <v>2.35E-2</v>
      </c>
      <c r="L143" s="48">
        <v>2.35E-2</v>
      </c>
      <c r="M143" s="48">
        <v>2.35E-2</v>
      </c>
      <c r="N143" s="2">
        <v>2.35E-2</v>
      </c>
      <c r="O143" s="22">
        <v>2.35E-2</v>
      </c>
    </row>
    <row r="144" spans="1:15" x14ac:dyDescent="0.15">
      <c r="A144" s="8" t="s">
        <v>102</v>
      </c>
      <c r="B144" s="19">
        <v>1</v>
      </c>
      <c r="C144" s="19">
        <v>1</v>
      </c>
      <c r="D144" s="19">
        <v>1</v>
      </c>
      <c r="E144" s="19">
        <v>1</v>
      </c>
      <c r="F144" s="19">
        <v>1</v>
      </c>
      <c r="G144" s="19">
        <v>1</v>
      </c>
      <c r="H144" s="19">
        <v>1</v>
      </c>
      <c r="I144" s="20">
        <f>H144-(1/30)</f>
        <v>0.96666666666666667</v>
      </c>
      <c r="J144" s="20">
        <f t="shared" ref="J144:O144" si="10">I144-(1/30)</f>
        <v>0.93333333333333335</v>
      </c>
      <c r="K144" s="20">
        <f t="shared" si="10"/>
        <v>0.9</v>
      </c>
      <c r="L144" s="20">
        <f t="shared" si="10"/>
        <v>0.8666666666666667</v>
      </c>
      <c r="M144" s="173">
        <f t="shared" si="10"/>
        <v>0.83333333333333337</v>
      </c>
      <c r="N144" s="20">
        <f t="shared" si="10"/>
        <v>0.8</v>
      </c>
      <c r="O144" s="20">
        <f t="shared" si="10"/>
        <v>0.76666666666666672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4C5D01E5C664AAC2D0A315E8AD40F" ma:contentTypeVersion="13" ma:contentTypeDescription="Crée un document." ma:contentTypeScope="" ma:versionID="425b433ac4922741dbfcf11ecc9c9f67">
  <xsd:schema xmlns:xsd="http://www.w3.org/2001/XMLSchema" xmlns:xs="http://www.w3.org/2001/XMLSchema" xmlns:p="http://schemas.microsoft.com/office/2006/metadata/properties" xmlns:ns3="7dc282c0-3e50-4656-9732-bac76869c95e" xmlns:ns4="2dca561a-fac6-481c-b7bf-50459cf67694" targetNamespace="http://schemas.microsoft.com/office/2006/metadata/properties" ma:root="true" ma:fieldsID="339ab80fa1d2d5a85e312d4444713c88" ns3:_="" ns4:_="">
    <xsd:import namespace="7dc282c0-3e50-4656-9732-bac76869c95e"/>
    <xsd:import namespace="2dca561a-fac6-481c-b7bf-50459cf676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82c0-3e50-4656-9732-bac76869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a561a-fac6-481c-b7bf-50459cf67694"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B36AC0-60C1-47BA-AF6A-ADDFFD0F3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82c0-3e50-4656-9732-bac76869c95e"/>
    <ds:schemaRef ds:uri="2dca561a-fac6-481c-b7bf-50459cf67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9AEA40-D810-4412-BDCD-F688F9531F2D}">
  <ds:schemaRefs>
    <ds:schemaRef ds:uri="http://purl.org/dc/terms/"/>
    <ds:schemaRef ds:uri="http://schemas.openxmlformats.org/package/2006/metadata/core-properties"/>
    <ds:schemaRef ds:uri="http://schemas.microsoft.com/office/2006/documentManagement/types"/>
    <ds:schemaRef ds:uri="2dca561a-fac6-481c-b7bf-50459cf67694"/>
    <ds:schemaRef ds:uri="7dc282c0-3e50-4656-9732-bac76869c95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D6B30E8-679D-41FF-B79F-44452995F7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2</vt:i4>
      </vt:variant>
    </vt:vector>
  </HeadingPairs>
  <TitlesOfParts>
    <vt:vector size="10" baseType="lpstr">
      <vt:lpstr>voorblad</vt:lpstr>
      <vt:lpstr>1</vt:lpstr>
      <vt:lpstr>Calc 1a</vt:lpstr>
      <vt:lpstr>Calc 1b</vt:lpstr>
      <vt:lpstr>Calc 2a</vt:lpstr>
      <vt:lpstr>Calc 2b</vt:lpstr>
      <vt:lpstr>Calc 3a</vt:lpstr>
      <vt:lpstr>Calc 3b</vt:lpstr>
      <vt:lpstr>'1'!Afdrukbereik</vt:lpstr>
      <vt:lpstr>'1'!Afdruktitels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2017-05-12T07:22:42Z</dcterms:created>
  <dcterms:modified xsi:type="dcterms:W3CDTF">2025-04-03T11:30:17Z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0x010100E8C4C5D01E5C664AAC2D0A315E8AD40F</vt:lpwstr>
  </property>
</Properties>
</file>