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477" documentId="13_ncr:40009_{923FC7F6-6ADB-4690-9ECC-7FE009341E06}" xr6:coauthVersionLast="44" xr6:coauthVersionMax="45" xr10:uidLastSave="{FD2E437D-1901-4EEF-BF4F-3FBC12F3F80A}"/>
  <bookViews>
    <workbookView minimized="1" xWindow="6825" yWindow="2085" windowWidth="19185" windowHeight="10200" xr2:uid="{00000000-000D-0000-FFFF-FFFF00000000}"/>
  </bookViews>
  <sheets>
    <sheet name="Home" sheetId="12" r:id="rId1"/>
    <sheet name="1" sheetId="2" r:id="rId2"/>
    <sheet name="calc" sheetId="10" state="hidden" r:id="rId3"/>
    <sheet name="calc 2" sheetId="11" state="hidden" r:id="rId4"/>
  </sheets>
  <definedNames>
    <definedName name="_xlnm.Print_Area" localSheetId="1">'1'!$A$2:$I$78</definedName>
    <definedName name="_xlnm.Print_Area" localSheetId="0">Home!$B$2:$S$24</definedName>
    <definedName name="_xlnm.Print_Titles" localSheetId="1">'1'!$2:$3</definedName>
    <definedName name="solver_eng" localSheetId="1" hidden="1">1</definedName>
    <definedName name="solver_neg" localSheetId="1" hidden="1">1</definedName>
    <definedName name="solver_num" localSheetId="1" hidden="1">0</definedName>
    <definedName name="solver_opt" localSheetId="1" hidden="1">'1'!$D$23</definedName>
    <definedName name="solver_typ" localSheetId="1" hidden="1">1</definedName>
    <definedName name="solver_val" localSheetId="1" hidden="1">0</definedName>
    <definedName name="solver_ver" localSheetId="1" hidden="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1" i="11" l="1"/>
  <c r="L69" i="11"/>
  <c r="L68" i="11"/>
  <c r="L66" i="11"/>
  <c r="L64" i="11"/>
  <c r="L57" i="11"/>
  <c r="L49" i="11"/>
  <c r="M49" i="11" s="1"/>
  <c r="L45" i="11"/>
  <c r="L44" i="11"/>
  <c r="M43" i="11"/>
  <c r="M66" i="11" s="1"/>
  <c r="L43" i="11"/>
  <c r="L67" i="11" s="1"/>
  <c r="M39" i="11"/>
  <c r="L39" i="11"/>
  <c r="M40" i="10"/>
  <c r="M44" i="10"/>
  <c r="M45" i="10" s="1"/>
  <c r="M50" i="10"/>
  <c r="L67" i="10"/>
  <c r="L50" i="10"/>
  <c r="L44" i="10"/>
  <c r="L58" i="10" s="1"/>
  <c r="L40" i="10"/>
  <c r="M44" i="11" l="1"/>
  <c r="M75" i="11" s="1"/>
  <c r="M57" i="11"/>
  <c r="M68" i="11"/>
  <c r="M69" i="11"/>
  <c r="M45" i="11"/>
  <c r="M56" i="11"/>
  <c r="M71" i="11"/>
  <c r="M64" i="11" s="1"/>
  <c r="M67" i="11"/>
  <c r="L56" i="11"/>
  <c r="M67" i="10"/>
  <c r="M58" i="10"/>
  <c r="M57" i="10"/>
  <c r="M68" i="10"/>
  <c r="M72" i="10"/>
  <c r="M70" i="10"/>
  <c r="M46" i="10"/>
  <c r="M69" i="10"/>
  <c r="L68" i="10"/>
  <c r="L45" i="10"/>
  <c r="L69" i="10"/>
  <c r="L46" i="10"/>
  <c r="L70" i="10"/>
  <c r="L72" i="10"/>
  <c r="L57" i="10"/>
  <c r="C8" i="12"/>
  <c r="M65" i="10" l="1"/>
  <c r="L65" i="10"/>
  <c r="K72" i="10"/>
  <c r="K65" i="10" s="1"/>
  <c r="K70" i="10"/>
  <c r="K69" i="10"/>
  <c r="K68" i="10"/>
  <c r="K67" i="10"/>
  <c r="K58" i="10"/>
  <c r="K57" i="10"/>
  <c r="K71" i="11"/>
  <c r="K69" i="11"/>
  <c r="K68" i="11"/>
  <c r="K67" i="11"/>
  <c r="K66" i="11"/>
  <c r="K64" i="11"/>
  <c r="K57" i="11"/>
  <c r="K56" i="11"/>
  <c r="K43" i="11"/>
  <c r="K45" i="11" s="1"/>
  <c r="K39" i="11"/>
  <c r="K44" i="10"/>
  <c r="K46" i="10" s="1"/>
  <c r="K40" i="10"/>
  <c r="K44" i="11" l="1"/>
  <c r="K45" i="10"/>
  <c r="J43" i="11" l="1"/>
  <c r="J56" i="11" s="1"/>
  <c r="J39" i="11"/>
  <c r="J44" i="10"/>
  <c r="J58" i="10" s="1"/>
  <c r="J40" i="10"/>
  <c r="J67" i="11" l="1"/>
  <c r="J69" i="11"/>
  <c r="J67" i="10"/>
  <c r="J69" i="10"/>
  <c r="J72" i="10"/>
  <c r="J68" i="10"/>
  <c r="J70" i="10"/>
  <c r="J45" i="11"/>
  <c r="J57" i="11"/>
  <c r="J66" i="11"/>
  <c r="J68" i="11"/>
  <c r="J71" i="11"/>
  <c r="J44" i="11"/>
  <c r="J45" i="10"/>
  <c r="J57" i="10"/>
  <c r="J46" i="10"/>
  <c r="J64" i="11" l="1"/>
  <c r="J65" i="10"/>
  <c r="M76" i="10" l="1"/>
  <c r="A1" i="11" l="1"/>
  <c r="A2" i="11"/>
  <c r="B39" i="11"/>
  <c r="C39" i="11"/>
  <c r="D39" i="11"/>
  <c r="E39" i="11"/>
  <c r="F39" i="11"/>
  <c r="G39" i="11"/>
  <c r="H39" i="11"/>
  <c r="I39" i="11"/>
  <c r="B43" i="11"/>
  <c r="B44" i="11" s="1"/>
  <c r="C43" i="11"/>
  <c r="C44" i="11" s="1"/>
  <c r="D43" i="11"/>
  <c r="D45" i="11" s="1"/>
  <c r="E43" i="11"/>
  <c r="E44" i="11" s="1"/>
  <c r="F43" i="11"/>
  <c r="F57" i="11" s="1"/>
  <c r="G43" i="11"/>
  <c r="G44" i="11" s="1"/>
  <c r="H43" i="11"/>
  <c r="H45" i="11" s="1"/>
  <c r="I43" i="11"/>
  <c r="I45" i="11" s="1"/>
  <c r="N43" i="11"/>
  <c r="O43" i="11"/>
  <c r="I66" i="11"/>
  <c r="H69" i="11"/>
  <c r="B71" i="11"/>
  <c r="D72" i="11"/>
  <c r="E72" i="11"/>
  <c r="A1" i="10"/>
  <c r="C33" i="10" s="1"/>
  <c r="A2" i="10"/>
  <c r="A3" i="10" s="1"/>
  <c r="A15" i="10"/>
  <c r="B40" i="10"/>
  <c r="C40" i="10"/>
  <c r="D40" i="10"/>
  <c r="E40" i="10"/>
  <c r="F40" i="10"/>
  <c r="G40" i="10"/>
  <c r="H40" i="10"/>
  <c r="I40" i="10"/>
  <c r="B44" i="10"/>
  <c r="B45" i="10" s="1"/>
  <c r="C44" i="10"/>
  <c r="C72" i="10" s="1"/>
  <c r="D44" i="10"/>
  <c r="D46" i="10" s="1"/>
  <c r="E44" i="10"/>
  <c r="E45" i="10" s="1"/>
  <c r="F44" i="10"/>
  <c r="F45" i="10" s="1"/>
  <c r="G44" i="10"/>
  <c r="G67" i="10" s="1"/>
  <c r="H44" i="10"/>
  <c r="H46" i="10" s="1"/>
  <c r="I44" i="10"/>
  <c r="I45" i="10" s="1"/>
  <c r="D45" i="10"/>
  <c r="E46" i="10"/>
  <c r="E6" i="2"/>
  <c r="C6" i="2" s="1"/>
  <c r="C7" i="2" s="1"/>
  <c r="E11" i="2"/>
  <c r="C11" i="2" s="1"/>
  <c r="C12" i="2" s="1"/>
  <c r="D36" i="2"/>
  <c r="D55" i="2"/>
  <c r="D28" i="2" l="1"/>
  <c r="F67" i="11"/>
  <c r="I69" i="11"/>
  <c r="I44" i="11"/>
  <c r="F66" i="11"/>
  <c r="I56" i="11"/>
  <c r="F71" i="11"/>
  <c r="F69" i="11"/>
  <c r="E66" i="11"/>
  <c r="B56" i="11"/>
  <c r="B58" i="11" s="1"/>
  <c r="D68" i="10"/>
  <c r="I68" i="10"/>
  <c r="H57" i="11"/>
  <c r="D44" i="11"/>
  <c r="G46" i="10"/>
  <c r="B67" i="11"/>
  <c r="D56" i="11"/>
  <c r="C73" i="10"/>
  <c r="C67" i="10"/>
  <c r="C46" i="10"/>
  <c r="C70" i="10"/>
  <c r="E59" i="10"/>
  <c r="E57" i="11"/>
  <c r="E69" i="11"/>
  <c r="I57" i="11"/>
  <c r="C20" i="11" s="1"/>
  <c r="E56" i="11"/>
  <c r="B46" i="10"/>
  <c r="F46" i="10"/>
  <c r="B8" i="10"/>
  <c r="B31" i="10"/>
  <c r="B8" i="11"/>
  <c r="B31" i="11"/>
  <c r="E68" i="10"/>
  <c r="I46" i="10"/>
  <c r="I72" i="10"/>
  <c r="B28" i="10" s="1"/>
  <c r="E72" i="10"/>
  <c r="C28" i="11"/>
  <c r="D66" i="11"/>
  <c r="D57" i="11"/>
  <c r="H56" i="11"/>
  <c r="B26" i="11"/>
  <c r="D69" i="11"/>
  <c r="H66" i="11"/>
  <c r="H44" i="11"/>
  <c r="C9" i="11"/>
  <c r="F56" i="11"/>
  <c r="F45" i="11"/>
  <c r="F44" i="11"/>
  <c r="B72" i="11"/>
  <c r="B69" i="11"/>
  <c r="B66" i="11"/>
  <c r="B45" i="11"/>
  <c r="B24" i="11"/>
  <c r="C72" i="11"/>
  <c r="G71" i="11"/>
  <c r="G69" i="11"/>
  <c r="C69" i="11"/>
  <c r="G67" i="11"/>
  <c r="G66" i="11"/>
  <c r="C66" i="11"/>
  <c r="C45" i="11"/>
  <c r="C16" i="11"/>
  <c r="C71" i="11"/>
  <c r="C67" i="11"/>
  <c r="G57" i="11"/>
  <c r="G56" i="11"/>
  <c r="C56" i="11"/>
  <c r="C58" i="11" s="1"/>
  <c r="G45" i="11"/>
  <c r="I71" i="11"/>
  <c r="B28" i="11" s="1"/>
  <c r="E71" i="11"/>
  <c r="I67" i="11"/>
  <c r="E67" i="11"/>
  <c r="E58" i="11"/>
  <c r="E45" i="11"/>
  <c r="H71" i="11"/>
  <c r="D71" i="11"/>
  <c r="H67" i="11"/>
  <c r="D67" i="11"/>
  <c r="D58" i="11"/>
  <c r="B9" i="10"/>
  <c r="C28" i="10"/>
  <c r="B24" i="10"/>
  <c r="C11" i="10"/>
  <c r="H70" i="10"/>
  <c r="C25" i="10"/>
  <c r="H58" i="10"/>
  <c r="B27" i="10"/>
  <c r="B20" i="10"/>
  <c r="C10" i="10"/>
  <c r="B25" i="10"/>
  <c r="D67" i="10"/>
  <c r="G58" i="10"/>
  <c r="C8" i="10"/>
  <c r="B26" i="10"/>
  <c r="C16" i="10"/>
  <c r="H72" i="10"/>
  <c r="H67" i="10"/>
  <c r="H45" i="10"/>
  <c r="D72" i="10"/>
  <c r="D70" i="10"/>
  <c r="D59" i="10"/>
  <c r="H57" i="10"/>
  <c r="C15" i="10"/>
  <c r="C9" i="10"/>
  <c r="D73" i="10"/>
  <c r="H68" i="10"/>
  <c r="D58" i="10"/>
  <c r="D57" i="10"/>
  <c r="G72" i="10"/>
  <c r="G68" i="10"/>
  <c r="C68" i="10"/>
  <c r="C57" i="10"/>
  <c r="C59" i="10" s="1"/>
  <c r="C45" i="10"/>
  <c r="G57" i="10"/>
  <c r="G45" i="10"/>
  <c r="F72" i="10"/>
  <c r="B72" i="10"/>
  <c r="G70" i="10"/>
  <c r="F68" i="10"/>
  <c r="B68" i="10"/>
  <c r="B73" i="10"/>
  <c r="F70" i="10"/>
  <c r="B70" i="10"/>
  <c r="F67" i="10"/>
  <c r="B67" i="10"/>
  <c r="F58" i="10"/>
  <c r="F57" i="10"/>
  <c r="B57" i="10"/>
  <c r="B59" i="10" s="1"/>
  <c r="E73" i="10"/>
  <c r="I70" i="10"/>
  <c r="E70" i="10"/>
  <c r="I67" i="10"/>
  <c r="C24" i="10" s="1"/>
  <c r="E67" i="10"/>
  <c r="I58" i="10"/>
  <c r="C20" i="10" s="1"/>
  <c r="E58" i="10"/>
  <c r="I57" i="10"/>
  <c r="B18" i="10" s="1"/>
  <c r="E57" i="10"/>
  <c r="C26" i="10"/>
  <c r="B19" i="10"/>
  <c r="B15" i="10"/>
  <c r="B10" i="10"/>
  <c r="C25" i="11"/>
  <c r="C15" i="11"/>
  <c r="B9" i="11"/>
  <c r="C27" i="11"/>
  <c r="B20" i="11"/>
  <c r="C11" i="11"/>
  <c r="C8" i="11"/>
  <c r="B27" i="11"/>
  <c r="C24" i="11"/>
  <c r="B19" i="11"/>
  <c r="C10" i="11"/>
  <c r="C14" i="2"/>
  <c r="E12" i="2"/>
  <c r="E14" i="2" s="1"/>
  <c r="D56" i="2" s="1"/>
  <c r="E7" i="2"/>
  <c r="C9" i="2"/>
  <c r="C26" i="11"/>
  <c r="B25" i="11"/>
  <c r="B18" i="11"/>
  <c r="B15" i="11"/>
  <c r="B10" i="11"/>
  <c r="D33" i="2" l="1"/>
  <c r="C27" i="10"/>
  <c r="D27" i="10" s="1"/>
  <c r="D8" i="10"/>
  <c r="D27" i="11"/>
  <c r="D24" i="10"/>
  <c r="D9" i="10"/>
  <c r="D24" i="11"/>
  <c r="D25" i="11"/>
  <c r="D10" i="10"/>
  <c r="D25" i="10"/>
  <c r="D26" i="10"/>
  <c r="D15" i="10"/>
  <c r="D20" i="10"/>
  <c r="D11" i="10"/>
  <c r="D26" i="11"/>
  <c r="D29" i="2"/>
  <c r="D34" i="2" s="1"/>
  <c r="D37" i="2" s="1"/>
  <c r="D51" i="2"/>
  <c r="E9" i="2"/>
  <c r="D54" i="2" s="1"/>
  <c r="D57" i="2" s="1"/>
  <c r="D28" i="11" l="1"/>
  <c r="D12" i="10"/>
  <c r="D28" i="10"/>
  <c r="D30" i="2"/>
  <c r="D60" i="2"/>
  <c r="A15" i="11" s="1"/>
  <c r="D15" i="11" s="1"/>
  <c r="D61" i="2" s="1"/>
  <c r="F62" i="2" s="1"/>
  <c r="D35" i="2"/>
  <c r="D38" i="2" s="1"/>
  <c r="C82" i="2" l="1"/>
  <c r="D45" i="2"/>
  <c r="D1" i="10"/>
  <c r="B33" i="10"/>
  <c r="D33" i="10" s="1"/>
  <c r="D62" i="2" s="1"/>
  <c r="D81" i="2" s="1"/>
  <c r="D41" i="2"/>
  <c r="A3" i="11" s="1"/>
  <c r="D82" i="2" l="1"/>
  <c r="D9" i="11"/>
  <c r="D20" i="11"/>
  <c r="D44" i="2" s="1"/>
  <c r="B30" i="10"/>
  <c r="B30" i="11"/>
  <c r="C31" i="11" s="1"/>
  <c r="D31" i="11" s="1"/>
  <c r="D8" i="11"/>
  <c r="D11" i="11"/>
  <c r="D10" i="11"/>
  <c r="C31" i="10" l="1"/>
  <c r="D31" i="10" s="1"/>
  <c r="D12" i="11"/>
  <c r="D43" i="2" s="1"/>
  <c r="D1" i="11" l="1"/>
  <c r="D42" i="2" s="1"/>
  <c r="C83" i="2" s="1"/>
  <c r="D23" i="2" l="1"/>
  <c r="C81" i="2" l="1"/>
</calcChain>
</file>

<file path=xl/sharedStrings.xml><?xml version="1.0" encoding="utf-8"?>
<sst xmlns="http://schemas.openxmlformats.org/spreadsheetml/2006/main" count="171" uniqueCount="89">
  <si>
    <t>Vennootschapsbelasting</t>
  </si>
  <si>
    <t>Inkomstenbelasting</t>
  </si>
  <si>
    <t>Gift privé</t>
  </si>
  <si>
    <t>Gift via BV</t>
  </si>
  <si>
    <t>Totaal belastingvoordeel</t>
  </si>
  <si>
    <t>waarvan periodiek</t>
  </si>
  <si>
    <t>gewone gift</t>
  </si>
  <si>
    <t>niet zakelijke gift</t>
  </si>
  <si>
    <t>waarvan zakelijk</t>
  </si>
  <si>
    <t>Giften aan ANBI's en steunstichtingen SBBI's</t>
  </si>
  <si>
    <t>Totaal gewone gift inclusief verhoging</t>
  </si>
  <si>
    <t>Periodieke giften aan ANBI's en steunstichtingen SBBI's</t>
  </si>
  <si>
    <t>Giftenaftrek</t>
  </si>
  <si>
    <t>jaar</t>
  </si>
  <si>
    <t>Belastbare Winst</t>
  </si>
  <si>
    <t>belastbaar inkomen</t>
  </si>
  <si>
    <t>geboortedatum</t>
  </si>
  <si>
    <t>inkomstenbelasting</t>
  </si>
  <si>
    <t>a</t>
  </si>
  <si>
    <t>tot</t>
  </si>
  <si>
    <t>tarief</t>
  </si>
  <si>
    <t>Te betalen IB/PVV</t>
  </si>
  <si>
    <t>schijf 1</t>
  </si>
  <si>
    <t>schijf 2</t>
  </si>
  <si>
    <t>schijf 3</t>
  </si>
  <si>
    <t>schijf 4</t>
  </si>
  <si>
    <t>Box 2</t>
  </si>
  <si>
    <t>algemene heffingskorting</t>
  </si>
  <si>
    <t>maximaal</t>
  </si>
  <si>
    <t>minimaal</t>
  </si>
  <si>
    <t>afbouw vanaf schijf 1</t>
  </si>
  <si>
    <t>arbeidskorting</t>
  </si>
  <si>
    <t>Max/Min</t>
  </si>
  <si>
    <t>Tabellen</t>
  </si>
  <si>
    <t>schijf</t>
  </si>
  <si>
    <t>AOW</t>
  </si>
  <si>
    <t>op 1 januari</t>
  </si>
  <si>
    <t>tarief 1</t>
  </si>
  <si>
    <t>tarief 2</t>
  </si>
  <si>
    <t>tarief 3</t>
  </si>
  <si>
    <t>tarief 4</t>
  </si>
  <si>
    <t>Tariefgrens</t>
  </si>
  <si>
    <t>laag tarief</t>
  </si>
  <si>
    <t>hoog tarief</t>
  </si>
  <si>
    <t>max alg heffingskorting</t>
  </si>
  <si>
    <t>Afbouwpercentage</t>
  </si>
  <si>
    <t>min alg heffingskorting</t>
  </si>
  <si>
    <t>Arbeidskorting</t>
  </si>
  <si>
    <t>Max</t>
  </si>
  <si>
    <t>Min</t>
  </si>
  <si>
    <t>Correctie giftenaftrek</t>
  </si>
  <si>
    <t>Selecteer het jaar</t>
  </si>
  <si>
    <t>Gift aan goede doelen (niet cultureel)</t>
  </si>
  <si>
    <t>Gift aan culturele goede doelen</t>
  </si>
  <si>
    <t>Verzamelinkomen (zonder persoonsgebonden aftrek)</t>
  </si>
  <si>
    <t>Persoonsgebonden aftrek (zonder giftenaftrek)</t>
  </si>
  <si>
    <t>Belastbare winst BV</t>
  </si>
  <si>
    <t>Verhoging in verband met culturele gift</t>
  </si>
  <si>
    <t>Effectief aftrekbaar bedrag perioedieke gift</t>
  </si>
  <si>
    <t>Drempel gewone gift (60 euro of 1% verzamelinkomen)</t>
  </si>
  <si>
    <t>Maximumaftrek gewone gift</t>
  </si>
  <si>
    <t>Effectief aftrekbaar bedrag gewone gift</t>
  </si>
  <si>
    <t>Effectief bedrag giftenaftrek</t>
  </si>
  <si>
    <t>Minder inkomstenbelasting</t>
  </si>
  <si>
    <t>Meer algemene heffingskorting</t>
  </si>
  <si>
    <t>Totaal zekelijke gift voor vennootschapsbelasting</t>
  </si>
  <si>
    <t>Totale niet zakelijke gift voor vennootschapsbelasting</t>
  </si>
  <si>
    <t>Maximumaftrek</t>
  </si>
  <si>
    <t>Effectief aftrekbaar bedrag niet zakelijke gift</t>
  </si>
  <si>
    <t>Effectief aftrekbaar bedrag voor vennootschapsbelasting</t>
  </si>
  <si>
    <t>Gegevens gift</t>
  </si>
  <si>
    <t>Gegevens inkomen</t>
  </si>
  <si>
    <t>Grafiek belastingvoordeel</t>
  </si>
  <si>
    <t>Aftrekbaar bedrag periodieke gift</t>
  </si>
  <si>
    <t>Aftrekbaar bedrag gewone gift</t>
  </si>
  <si>
    <t>Aftrekbaar bedrag totaal</t>
  </si>
  <si>
    <t>Aftrekbaar bedrag niet-zakelijke gift</t>
  </si>
  <si>
    <t>Aftrekbaar bedrag zakelijke gift</t>
  </si>
  <si>
    <t xml:space="preserve">Deze tool is geschikt voor meerdere jaren   </t>
  </si>
  <si>
    <t>Recente wijzigingen</t>
  </si>
  <si>
    <t>Cijfers tot en met 2022 verwerkt</t>
  </si>
  <si>
    <t>Tabel belastingvoordeel</t>
  </si>
  <si>
    <t>Meer arbeidskorting</t>
  </si>
  <si>
    <t>Grafiek zichtbaar gemaakt, kleine aanpassingen layout</t>
  </si>
  <si>
    <t>Vennootschapsbelasting / AB-claim</t>
  </si>
  <si>
    <t>Totaal belastingvoordeel nu/toekomst</t>
  </si>
  <si>
    <t>Belastingvoordeel inkomstenbelasting</t>
  </si>
  <si>
    <t>Belastingvoordeel vennootschapsbelasting</t>
  </si>
  <si>
    <t>Lagere aanmerkelijk belangclaim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</si>
</sst>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 #,##0_ ;_ &quot;€&quot;\ * \-#,##0_ ;_ &quot;€&quot;\ * &quot;-&quot;_ ;_ @_ "/>
    <numFmt numFmtId="41" formatCode="_ * #,##0_ ;_ * \-#,##0_ ;_ * &quot;-&quot;_ ;_ @_ "/>
    <numFmt numFmtId="164" formatCode="&quot;€&quot;\ #,##0"/>
    <numFmt numFmtId="165" formatCode="[$€-2]\ #,##0.00"/>
    <numFmt numFmtId="166" formatCode="_-* #,##0.00\ [$€-1]_-;\-* #,##0.00\ [$€-1]_-;_-* &quot;-&quot;??\ [$€-1]_-"/>
    <numFmt numFmtId="167" formatCode="0.000%"/>
    <numFmt numFmtId="168" formatCode="0.0%"/>
    <numFmt numFmtId="169" formatCode="_-&quot;€&quot;* #,##0.00_-;\-&quot;€&quot;* #,##0.00_-;_-&quot;€&quot;* &quot;-&quot;??_-;_-@_-"/>
    <numFmt numFmtId="170" formatCode="[$-413]d\ mmmm\ yyyy;@"/>
  </numFmts>
  <fonts count="46">
    <font>
      <sz val="9"/>
      <color indexed="8"/>
      <name val="Tahoma"/>
      <family val="2"/>
    </font>
    <font>
      <sz val="11"/>
      <color indexed="8"/>
      <name val="Calibri"/>
      <family val="2"/>
    </font>
    <font>
      <sz val="10"/>
      <name val="Univers"/>
      <family val="2"/>
    </font>
    <font>
      <u/>
      <sz val="10"/>
      <color indexed="36"/>
      <name val="Arial"/>
      <family val="2"/>
    </font>
    <font>
      <sz val="9"/>
      <name val="tahoma"/>
      <family val="2"/>
    </font>
    <font>
      <sz val="9"/>
      <color indexed="16"/>
      <name val="tahoma"/>
      <family val="2"/>
    </font>
    <font>
      <u/>
      <sz val="9"/>
      <name val="tahoma"/>
      <family val="2"/>
    </font>
    <font>
      <sz val="10"/>
      <name val="Tahoma"/>
      <family val="2"/>
    </font>
    <font>
      <sz val="6"/>
      <name val="Tahoma"/>
      <family val="2"/>
    </font>
    <font>
      <b/>
      <sz val="9"/>
      <name val="Tahoma"/>
      <family val="2"/>
    </font>
    <font>
      <b/>
      <sz val="9"/>
      <color indexed="9"/>
      <name val="tahoma"/>
      <family val="2"/>
    </font>
    <font>
      <sz val="9"/>
      <color indexed="8"/>
      <name val="Tahoma"/>
      <family val="2"/>
    </font>
    <font>
      <sz val="14"/>
      <name val="tahoma"/>
      <family val="2"/>
    </font>
    <font>
      <sz val="11"/>
      <color rgb="FF006100"/>
      <name val="Calibri"/>
      <family val="2"/>
      <scheme val="minor"/>
    </font>
    <font>
      <sz val="11"/>
      <color theme="1"/>
      <name val="Calibri"/>
      <family val="2"/>
      <scheme val="minor"/>
    </font>
    <font>
      <b/>
      <sz val="9"/>
      <color theme="0"/>
      <name val="Tahoma"/>
      <family val="2"/>
    </font>
    <font>
      <sz val="9"/>
      <color theme="0"/>
      <name val="tahoma"/>
      <family val="2"/>
    </font>
    <font>
      <sz val="9"/>
      <color theme="1"/>
      <name val="tahoma"/>
      <family val="2"/>
    </font>
    <font>
      <b/>
      <sz val="9"/>
      <color theme="1"/>
      <name val="tahoma"/>
      <family val="2"/>
    </font>
    <font>
      <b/>
      <sz val="12"/>
      <color theme="1"/>
      <name val="tahoma"/>
      <family val="2"/>
    </font>
    <font>
      <sz val="48"/>
      <color rgb="FF4A4A4A"/>
      <name val="Calibri Light"/>
      <family val="2"/>
    </font>
    <font>
      <sz val="24"/>
      <color rgb="FF4A4A4A"/>
      <name val="Calibri"/>
      <family val="2"/>
    </font>
    <font>
      <sz val="18"/>
      <color rgb="FF4A4A4A"/>
      <name val="Calibri"/>
      <family val="2"/>
    </font>
    <font>
      <u/>
      <sz val="10"/>
      <color indexed="36"/>
      <name val="Tahoma"/>
      <family val="2"/>
    </font>
    <font>
      <sz val="16"/>
      <color rgb="FF4A4A4A"/>
      <name val="Calibri"/>
      <family val="2"/>
    </font>
    <font>
      <sz val="16"/>
      <color rgb="FF717171"/>
      <name val="Calibri"/>
      <family val="2"/>
    </font>
    <font>
      <sz val="14"/>
      <color rgb="FF4A4A4A"/>
      <name val="Calibri"/>
      <family val="2"/>
    </font>
    <font>
      <sz val="14"/>
      <color rgb="FF717171"/>
      <name val="Calibri"/>
      <family val="2"/>
    </font>
    <font>
      <sz val="14"/>
      <color theme="2" tint="-0.249977111117893"/>
      <name val="Calibri"/>
      <family val="2"/>
    </font>
    <font>
      <b/>
      <sz val="14"/>
      <color rgb="FF4A4A4A"/>
      <name val="Calibri"/>
      <family val="2"/>
    </font>
    <font>
      <i/>
      <sz val="14"/>
      <color rgb="FF717171"/>
      <name val="Calibri"/>
      <family val="2"/>
    </font>
    <font>
      <b/>
      <sz val="16"/>
      <color rgb="FF002060"/>
      <name val="Calibri"/>
      <family val="2"/>
    </font>
    <font>
      <sz val="14"/>
      <color rgb="FFED7D31"/>
      <name val="Calibri"/>
      <family val="2"/>
    </font>
    <font>
      <sz val="20"/>
      <name val="Wingdings 3"/>
      <family val="1"/>
      <charset val="2"/>
    </font>
    <font>
      <sz val="20"/>
      <name val="Webdings"/>
      <family val="1"/>
      <charset val="2"/>
    </font>
    <font>
      <sz val="14"/>
      <color theme="0"/>
      <name val="Calibri"/>
      <family val="2"/>
    </font>
    <font>
      <i/>
      <sz val="10"/>
      <color rgb="FF717171"/>
      <name val="Calibri"/>
      <family val="2"/>
    </font>
    <font>
      <b/>
      <sz val="14"/>
      <color rgb="FF717171"/>
      <name val="Calibri"/>
      <family val="2"/>
    </font>
    <font>
      <i/>
      <sz val="10"/>
      <color rgb="FF4A4A4A"/>
      <name val="Calibri"/>
      <family val="2"/>
    </font>
    <font>
      <sz val="36"/>
      <color rgb="FF4A4A4A"/>
      <name val="Calibri Light"/>
      <family val="2"/>
    </font>
    <font>
      <sz val="24"/>
      <color rgb="FF717171"/>
      <name val="Calibri"/>
      <family val="2"/>
    </font>
    <font>
      <b/>
      <sz val="9"/>
      <color indexed="45"/>
      <name val="Wingdings 3"/>
      <family val="1"/>
    </font>
    <font>
      <b/>
      <sz val="12"/>
      <color theme="1" tint="0.499984740745262"/>
      <name val="Calibri"/>
      <family val="2"/>
    </font>
    <font>
      <i/>
      <sz val="10"/>
      <color theme="1" tint="0.499984740745262"/>
      <name val="Calibri"/>
      <family val="2"/>
    </font>
    <font>
      <sz val="11"/>
      <color rgb="FF9C5700"/>
      <name val="Calibri"/>
      <family val="2"/>
      <scheme val="minor"/>
    </font>
    <font>
      <i/>
      <sz val="12"/>
      <color rgb="FF717171"/>
      <name val="Calibri"/>
      <family val="2"/>
    </font>
  </fonts>
  <fills count="13">
    <fill>
      <patternFill patternType="none"/>
    </fill>
    <fill>
      <patternFill patternType="gray125"/>
    </fill>
    <fill>
      <patternFill patternType="solid">
        <fgColor indexed="8"/>
        <bgColor indexed="64"/>
      </patternFill>
    </fill>
    <fill>
      <patternFill patternType="solid">
        <fgColor rgb="FFC6EFCE"/>
      </patternFill>
    </fill>
    <fill>
      <patternFill patternType="solid">
        <fgColor theme="0"/>
        <bgColor indexed="64"/>
      </patternFill>
    </fill>
    <fill>
      <patternFill patternType="solid">
        <fgColor rgb="FFFF0000"/>
        <bgColor indexed="64"/>
      </patternFill>
    </fill>
    <fill>
      <patternFill patternType="solid">
        <fgColor rgb="FFF2F2F2"/>
      </patternFill>
    </fill>
    <fill>
      <patternFill patternType="solid">
        <fgColor rgb="FFD9E1F2"/>
      </patternFill>
    </fill>
    <fill>
      <patternFill patternType="solid">
        <fgColor rgb="FFFCE4D6"/>
      </patternFill>
    </fill>
    <fill>
      <patternFill patternType="solid">
        <fgColor theme="0"/>
        <bgColor theme="4"/>
      </patternFill>
    </fill>
    <fill>
      <patternFill patternType="solid">
        <fgColor rgb="FFE2EFDA"/>
      </patternFill>
    </fill>
    <fill>
      <patternFill patternType="lightGray">
        <fgColor theme="1" tint="0.499984740745262"/>
        <bgColor indexed="65"/>
      </patternFill>
    </fill>
    <fill>
      <patternFill patternType="solid">
        <fgColor rgb="FFFFEB9C"/>
      </patternFill>
    </fill>
  </fills>
  <borders count="26">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top style="thin">
        <color indexed="9"/>
      </top>
      <bottom/>
      <diagonal/>
    </border>
    <border>
      <left/>
      <right style="thin">
        <color indexed="9"/>
      </right>
      <top style="thin">
        <color indexed="9"/>
      </top>
      <bottom style="thin">
        <color indexed="9"/>
      </bottom>
      <diagonal/>
    </border>
    <border>
      <left/>
      <right/>
      <top/>
      <bottom style="thin">
        <color indexed="9"/>
      </bottom>
      <diagonal/>
    </border>
    <border>
      <left style="thin">
        <color indexed="64"/>
      </left>
      <right/>
      <top/>
      <bottom/>
      <diagonal/>
    </border>
    <border>
      <left/>
      <right style="thin">
        <color indexed="9"/>
      </right>
      <top style="thin">
        <color indexed="9"/>
      </top>
      <bottom/>
      <diagonal/>
    </border>
    <border>
      <left style="thin">
        <color rgb="FF4A90E2"/>
      </left>
      <right style="thin">
        <color rgb="FF4A90E2"/>
      </right>
      <top style="thin">
        <color rgb="FF4A90E2"/>
      </top>
      <bottom style="thin">
        <color rgb="FF4A90E2"/>
      </bottom>
      <diagonal/>
    </border>
    <border>
      <left/>
      <right/>
      <top/>
      <bottom style="thin">
        <color theme="2" tint="-0.499984740745262"/>
      </bottom>
      <diagonal/>
    </border>
    <border>
      <left/>
      <right/>
      <top/>
      <bottom style="double">
        <color indexed="64"/>
      </bottom>
      <diagonal/>
    </border>
    <border>
      <left/>
      <right/>
      <top style="thin">
        <color rgb="FF4A90E2"/>
      </top>
      <bottom/>
      <diagonal/>
    </border>
    <border>
      <left/>
      <right/>
      <top/>
      <bottom style="thin">
        <color rgb="FF4A90E2"/>
      </bottom>
      <diagonal/>
    </border>
    <border>
      <left/>
      <right/>
      <top style="thin">
        <color rgb="FF4A90E2"/>
      </top>
      <bottom style="thin">
        <color rgb="FF4A90E2"/>
      </bottom>
      <diagonal/>
    </border>
    <border>
      <left style="thick">
        <color rgb="FF4A90E2"/>
      </left>
      <right/>
      <top/>
      <bottom/>
      <diagonal/>
    </border>
    <border>
      <left style="thin">
        <color indexed="9"/>
      </left>
      <right/>
      <top style="thin">
        <color indexed="9"/>
      </top>
      <bottom style="thin">
        <color indexed="9"/>
      </bottom>
      <diagonal/>
    </border>
    <border>
      <left style="medium">
        <color rgb="FF4A90E2"/>
      </left>
      <right/>
      <top style="medium">
        <color rgb="FF4A90E2"/>
      </top>
      <bottom/>
      <diagonal/>
    </border>
    <border>
      <left/>
      <right/>
      <top style="medium">
        <color rgb="FF4A90E2"/>
      </top>
      <bottom/>
      <diagonal/>
    </border>
    <border>
      <left/>
      <right style="medium">
        <color rgb="FF4A90E2"/>
      </right>
      <top style="medium">
        <color rgb="FF4A90E2"/>
      </top>
      <bottom/>
      <diagonal/>
    </border>
    <border>
      <left style="medium">
        <color rgb="FF4A90E2"/>
      </left>
      <right/>
      <top/>
      <bottom style="medium">
        <color rgb="FF4A90E2"/>
      </bottom>
      <diagonal/>
    </border>
    <border>
      <left/>
      <right/>
      <top/>
      <bottom style="medium">
        <color rgb="FF4A90E2"/>
      </bottom>
      <diagonal/>
    </border>
    <border>
      <left/>
      <right style="medium">
        <color rgb="FF4A90E2"/>
      </right>
      <top/>
      <bottom style="medium">
        <color rgb="FF4A90E2"/>
      </bottom>
      <diagonal/>
    </border>
    <border>
      <left/>
      <right/>
      <top style="hair">
        <color rgb="FF4A90E2"/>
      </top>
      <bottom style="hair">
        <color rgb="FF4A90E2"/>
      </bottom>
      <diagonal/>
    </border>
    <border>
      <left style="thin">
        <color rgb="FF4A90E2"/>
      </left>
      <right/>
      <top style="thin">
        <color rgb="FF4A90E2"/>
      </top>
      <bottom style="thin">
        <color rgb="FF4A90E2"/>
      </bottom>
      <diagonal/>
    </border>
    <border>
      <left/>
      <right style="thin">
        <color rgb="FF4A90E2"/>
      </right>
      <top style="thin">
        <color rgb="FF4A90E2"/>
      </top>
      <bottom style="thin">
        <color rgb="FF4A90E2"/>
      </bottom>
      <diagonal/>
    </border>
    <border>
      <left/>
      <right/>
      <top style="thin">
        <color theme="0"/>
      </top>
      <bottom style="thin">
        <color rgb="FF4A90E2"/>
      </bottom>
      <diagonal/>
    </border>
  </borders>
  <cellStyleXfs count="32">
    <xf numFmtId="0" fontId="0" fillId="0" borderId="0">
      <alignment vertical="center"/>
    </xf>
    <xf numFmtId="166"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13" fillId="3" borderId="0" applyNumberFormat="0" applyBorder="0" applyAlignment="0" applyProtection="0"/>
    <xf numFmtId="0" fontId="11" fillId="0" borderId="0">
      <alignment vertical="center"/>
    </xf>
    <xf numFmtId="9" fontId="1" fillId="0" borderId="0" applyFont="0" applyFill="0" applyBorder="0" applyAlignment="0" applyProtection="0"/>
    <xf numFmtId="9" fontId="14" fillId="0" borderId="0" applyFont="0" applyFill="0" applyBorder="0" applyAlignment="0" applyProtection="0"/>
    <xf numFmtId="0" fontId="20" fillId="0" borderId="0" applyNumberFormat="0" applyFill="0" applyBorder="0" applyAlignment="0" applyProtection="0">
      <alignment vertical="top"/>
    </xf>
    <xf numFmtId="0" fontId="21" fillId="0" borderId="0" applyNumberFormat="0" applyFill="0" applyBorder="0" applyAlignment="0" applyProtection="0">
      <alignment vertical="top"/>
    </xf>
    <xf numFmtId="0" fontId="22" fillId="0" borderId="0" applyNumberFormat="0" applyFill="0" applyBorder="0" applyAlignment="0" applyProtection="0">
      <alignment vertical="top"/>
    </xf>
    <xf numFmtId="0" fontId="23" fillId="0" borderId="0" applyNumberFormat="0" applyFont="0" applyFill="0" applyBorder="0" applyAlignment="0" applyProtection="0">
      <alignment vertical="top"/>
      <protection locked="0"/>
    </xf>
    <xf numFmtId="0" fontId="24" fillId="0" borderId="8" applyNumberFormat="0" applyFill="0" applyProtection="0">
      <alignment horizontal="left" vertical="center" indent="1"/>
    </xf>
    <xf numFmtId="0" fontId="25" fillId="0" borderId="9" applyNumberFormat="0" applyFill="0" applyProtection="0">
      <alignment horizontal="left" vertical="center" indent="1"/>
      <protection locked="0"/>
    </xf>
    <xf numFmtId="42" fontId="24" fillId="4" borderId="8" applyFill="0" applyProtection="0">
      <alignment horizontal="left" vertical="center" indent="1"/>
    </xf>
    <xf numFmtId="0" fontId="27" fillId="0" borderId="0" applyNumberFormat="0" applyFill="0" applyProtection="0">
      <alignment horizontal="right" vertical="center" indent="1"/>
    </xf>
    <xf numFmtId="0" fontId="27" fillId="0" borderId="0" applyNumberFormat="0" applyFill="0" applyProtection="0">
      <alignment horizontal="right" vertical="center" indent="1"/>
    </xf>
    <xf numFmtId="0" fontId="26" fillId="7" borderId="8" applyNumberFormat="0" applyBorder="0" applyProtection="0">
      <alignment horizontal="left" vertical="center" indent="1"/>
    </xf>
    <xf numFmtId="42" fontId="26" fillId="7" borderId="8" applyBorder="0">
      <alignment horizontal="left" vertical="center" indent="1"/>
    </xf>
    <xf numFmtId="169" fontId="26" fillId="8" borderId="8" applyNumberFormat="0" applyBorder="0" applyProtection="0">
      <alignment horizontal="left" vertical="center" indent="1"/>
    </xf>
    <xf numFmtId="0" fontId="26" fillId="9" borderId="10" applyAlignment="0">
      <alignment vertical="center"/>
    </xf>
    <xf numFmtId="0" fontId="28" fillId="0" borderId="0" applyFill="0" applyBorder="0" applyProtection="0">
      <alignment vertical="top"/>
    </xf>
    <xf numFmtId="42" fontId="29" fillId="4" borderId="11" applyNumberFormat="0" applyFill="0" applyProtection="0">
      <alignment horizontal="left" indent="1"/>
    </xf>
    <xf numFmtId="0" fontId="29" fillId="0" borderId="12" applyNumberFormat="0" applyFill="0" applyProtection="0">
      <alignment horizontal="left" vertical="center" indent="1"/>
    </xf>
    <xf numFmtId="0" fontId="26" fillId="0" borderId="13" applyNumberFormat="0" applyFill="0" applyProtection="0">
      <alignment horizontal="left" vertical="center" indent="1"/>
    </xf>
    <xf numFmtId="42" fontId="29" fillId="7" borderId="12" applyProtection="0">
      <alignment horizontal="left" vertical="center" indent="1"/>
    </xf>
    <xf numFmtId="169" fontId="26" fillId="10" borderId="8" applyNumberFormat="0" applyProtection="0">
      <alignment horizontal="left" vertical="center" indent="1"/>
    </xf>
    <xf numFmtId="0" fontId="27" fillId="0" borderId="14" applyNumberFormat="0" applyProtection="0">
      <alignment horizontal="left" vertical="center" indent="1"/>
    </xf>
    <xf numFmtId="0" fontId="30" fillId="6" borderId="0" applyNumberFormat="0" applyProtection="0">
      <alignment horizontal="left" vertical="center" wrapText="1" indent="1"/>
    </xf>
    <xf numFmtId="0" fontId="31" fillId="4" borderId="0">
      <alignment vertical="top"/>
    </xf>
    <xf numFmtId="0" fontId="32" fillId="8" borderId="0" applyNumberFormat="0" applyProtection="0">
      <alignment horizontal="left" vertical="center" wrapText="1" indent="1"/>
    </xf>
    <xf numFmtId="0" fontId="26" fillId="0" borderId="0" applyNumberFormat="0" applyFill="0" applyBorder="0" applyProtection="0">
      <alignment vertical="top"/>
    </xf>
    <xf numFmtId="0" fontId="44" fillId="12" borderId="0" applyNumberFormat="0" applyBorder="0" applyAlignment="0" applyProtection="0"/>
  </cellStyleXfs>
  <cellXfs count="185">
    <xf numFmtId="0" fontId="0" fillId="0" borderId="0" xfId="0">
      <alignment vertical="center"/>
    </xf>
    <xf numFmtId="0" fontId="4" fillId="0" borderId="0" xfId="0" applyFont="1" applyFill="1">
      <alignment vertical="center"/>
    </xf>
    <xf numFmtId="9" fontId="4" fillId="0" borderId="0" xfId="0" applyNumberFormat="1" applyFont="1" applyFill="1">
      <alignment vertical="center"/>
    </xf>
    <xf numFmtId="10" fontId="4" fillId="0" borderId="0" xfId="0" applyNumberFormat="1" applyFont="1" applyFill="1">
      <alignment vertical="center"/>
    </xf>
    <xf numFmtId="0" fontId="4" fillId="0" borderId="0" xfId="0" applyFont="1" applyFill="1" applyProtection="1">
      <alignment vertical="center"/>
      <protection hidden="1"/>
    </xf>
    <xf numFmtId="0" fontId="4" fillId="0" borderId="0" xfId="0" applyFont="1" applyFill="1" applyAlignment="1" applyProtection="1">
      <alignment horizontal="left" vertical="center" indent="1"/>
      <protection hidden="1"/>
    </xf>
    <xf numFmtId="164" fontId="4" fillId="0" borderId="0" xfId="0" applyNumberFormat="1" applyFont="1" applyFill="1" applyAlignment="1" applyProtection="1">
      <alignment horizontal="right" vertical="center"/>
      <protection hidden="1"/>
    </xf>
    <xf numFmtId="0" fontId="12" fillId="0" borderId="0" xfId="0" applyFont="1" applyFill="1" applyProtection="1">
      <alignment vertical="center"/>
      <protection hidden="1"/>
    </xf>
    <xf numFmtId="0" fontId="12" fillId="0" borderId="0" xfId="0" applyFont="1" applyFill="1">
      <alignment vertical="center"/>
    </xf>
    <xf numFmtId="10" fontId="12" fillId="0" borderId="0" xfId="0" applyNumberFormat="1" applyFont="1" applyFill="1">
      <alignment vertical="center"/>
    </xf>
    <xf numFmtId="0" fontId="4" fillId="0" borderId="0" xfId="0" applyFont="1" applyFill="1" applyAlignment="1" applyProtection="1">
      <alignment horizontal="left" vertical="center"/>
      <protection hidden="1"/>
    </xf>
    <xf numFmtId="0" fontId="4" fillId="0" borderId="0" xfId="0" applyFont="1" applyFill="1" applyAlignment="1">
      <alignment horizontal="left" vertical="center"/>
    </xf>
    <xf numFmtId="3" fontId="10" fillId="0" borderId="0" xfId="5" applyNumberFormat="1" applyFont="1" applyFill="1" applyBorder="1" applyAlignment="1" applyProtection="1">
      <alignment horizontal="left" vertical="center"/>
      <protection hidden="1"/>
    </xf>
    <xf numFmtId="164" fontId="4" fillId="0" borderId="0" xfId="0" applyNumberFormat="1" applyFont="1" applyFill="1" applyAlignment="1" applyProtection="1">
      <alignment horizontal="left" vertical="center"/>
      <protection hidden="1"/>
    </xf>
    <xf numFmtId="0" fontId="12" fillId="0" borderId="0" xfId="0" applyFont="1" applyFill="1" applyAlignment="1" applyProtection="1">
      <alignment horizontal="left" vertical="center"/>
      <protection hidden="1"/>
    </xf>
    <xf numFmtId="0" fontId="4"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164" fontId="9" fillId="0" borderId="1" xfId="0" applyNumberFormat="1" applyFont="1" applyFill="1" applyBorder="1" applyAlignment="1" applyProtection="1">
      <alignment horizontal="center" vertical="center"/>
      <protection hidden="1"/>
    </xf>
    <xf numFmtId="0" fontId="4" fillId="0" borderId="0" xfId="0" applyFont="1" applyFill="1" applyAlignment="1">
      <alignment horizontal="center" vertical="center"/>
    </xf>
    <xf numFmtId="0" fontId="12" fillId="0" borderId="0" xfId="0" applyFont="1" applyFill="1" applyAlignment="1" applyProtection="1">
      <alignment horizontal="right" vertical="center"/>
      <protection hidden="1"/>
    </xf>
    <xf numFmtId="0" fontId="4" fillId="0" borderId="0" xfId="0" applyFont="1" applyFill="1" applyAlignment="1">
      <alignment horizontal="right" vertical="center"/>
    </xf>
    <xf numFmtId="164" fontId="15" fillId="0" borderId="4" xfId="0" applyNumberFormat="1" applyFont="1" applyFill="1" applyBorder="1" applyAlignment="1" applyProtection="1">
      <alignment horizontal="right" vertical="center"/>
      <protection hidden="1"/>
    </xf>
    <xf numFmtId="164" fontId="15" fillId="4" borderId="4" xfId="0" applyNumberFormat="1" applyFont="1" applyFill="1" applyBorder="1" applyAlignment="1" applyProtection="1">
      <alignment horizontal="right" vertical="center"/>
      <protection hidden="1"/>
    </xf>
    <xf numFmtId="49" fontId="10" fillId="0" borderId="1" xfId="0" applyNumberFormat="1" applyFont="1" applyFill="1" applyBorder="1" applyAlignment="1" applyProtection="1">
      <alignment horizontal="center" vertical="center"/>
      <protection hidden="1"/>
    </xf>
    <xf numFmtId="164" fontId="4" fillId="0" borderId="0" xfId="0" applyNumberFormat="1" applyFont="1" applyFill="1" applyBorder="1" applyAlignment="1" applyProtection="1">
      <alignment horizontal="left" vertical="center"/>
      <protection hidden="1"/>
    </xf>
    <xf numFmtId="164" fontId="9" fillId="0" borderId="0" xfId="0" applyNumberFormat="1" applyFont="1" applyFill="1" applyBorder="1" applyAlignment="1" applyProtection="1">
      <alignment horizontal="center" vertical="center"/>
      <protection hidden="1"/>
    </xf>
    <xf numFmtId="164" fontId="9" fillId="0" borderId="2" xfId="0" applyNumberFormat="1" applyFont="1" applyFill="1" applyBorder="1" applyAlignment="1" applyProtection="1">
      <alignment horizontal="center" vertical="center"/>
      <protection hidden="1"/>
    </xf>
    <xf numFmtId="164" fontId="9" fillId="0" borderId="5" xfId="0" applyNumberFormat="1" applyFont="1" applyFill="1" applyBorder="1" applyAlignment="1" applyProtection="1">
      <alignment horizontal="right" vertical="center"/>
      <protection hidden="1"/>
    </xf>
    <xf numFmtId="0" fontId="17" fillId="5" borderId="0" xfId="4" applyFont="1" applyFill="1" applyAlignment="1" applyProtection="1">
      <alignment horizontal="left" vertical="center"/>
      <protection locked="0"/>
    </xf>
    <xf numFmtId="0" fontId="17" fillId="0" borderId="0" xfId="4" applyFont="1" applyFill="1" applyProtection="1">
      <alignment vertical="center"/>
      <protection locked="0"/>
    </xf>
    <xf numFmtId="42" fontId="13" fillId="3" borderId="0" xfId="3" applyNumberFormat="1" applyAlignment="1" applyProtection="1">
      <alignment vertical="center"/>
      <protection locked="0"/>
    </xf>
    <xf numFmtId="0" fontId="17" fillId="0" borderId="6" xfId="4" applyFont="1" applyFill="1" applyBorder="1" applyProtection="1">
      <alignment vertical="center"/>
      <protection locked="0"/>
    </xf>
    <xf numFmtId="0" fontId="17" fillId="0" borderId="0" xfId="4" applyFont="1" applyFill="1" applyBorder="1" applyProtection="1">
      <alignment vertical="center"/>
      <protection locked="0"/>
    </xf>
    <xf numFmtId="42" fontId="13" fillId="0" borderId="0" xfId="3" applyNumberFormat="1" applyFill="1" applyAlignment="1" applyProtection="1">
      <alignment vertical="center"/>
      <protection locked="0"/>
    </xf>
    <xf numFmtId="0" fontId="4" fillId="5" borderId="0" xfId="4" applyFont="1" applyFill="1" applyAlignment="1" applyProtection="1">
      <alignment horizontal="left" vertical="center"/>
      <protection locked="0"/>
    </xf>
    <xf numFmtId="0" fontId="4" fillId="0" borderId="0" xfId="4" applyFont="1" applyFill="1" applyBorder="1" applyAlignment="1" applyProtection="1">
      <alignment horizontal="left" vertical="center"/>
      <protection locked="0"/>
    </xf>
    <xf numFmtId="14" fontId="17" fillId="5" borderId="0" xfId="4" applyNumberFormat="1" applyFont="1" applyFill="1" applyAlignment="1" applyProtection="1">
      <alignment horizontal="left" vertical="center"/>
      <protection locked="0"/>
    </xf>
    <xf numFmtId="14" fontId="17" fillId="0" borderId="0" xfId="4" applyNumberFormat="1" applyFont="1" applyFill="1" applyAlignment="1" applyProtection="1">
      <alignment horizontal="left" vertical="center"/>
      <protection locked="0"/>
    </xf>
    <xf numFmtId="0" fontId="17" fillId="0" borderId="0" xfId="4" applyFont="1" applyFill="1" applyAlignment="1" applyProtection="1">
      <alignment horizontal="left" vertical="center"/>
      <protection locked="0"/>
    </xf>
    <xf numFmtId="0" fontId="18" fillId="0" borderId="0" xfId="4" applyFont="1" applyFill="1" applyAlignment="1" applyProtection="1">
      <alignment horizontal="left" vertical="center"/>
      <protection locked="0"/>
    </xf>
    <xf numFmtId="0" fontId="18" fillId="0" borderId="0" xfId="4" applyFont="1" applyFill="1" applyBorder="1" applyAlignment="1" applyProtection="1">
      <alignment horizontal="left" vertical="center"/>
      <protection locked="0"/>
    </xf>
    <xf numFmtId="0" fontId="18" fillId="0" borderId="0" xfId="4" applyFont="1" applyFill="1" applyBorder="1" applyAlignment="1" applyProtection="1">
      <alignment horizontal="right" vertical="center"/>
      <protection locked="0"/>
    </xf>
    <xf numFmtId="0" fontId="18" fillId="0" borderId="0" xfId="4" applyFont="1" applyFill="1" applyBorder="1" applyAlignment="1" applyProtection="1">
      <alignment horizontal="right" vertical="center" indent="1"/>
      <protection locked="0"/>
    </xf>
    <xf numFmtId="0" fontId="18" fillId="0" borderId="6" xfId="4" applyFont="1" applyFill="1" applyBorder="1" applyAlignment="1" applyProtection="1">
      <alignment horizontal="right" vertical="center"/>
      <protection locked="0"/>
    </xf>
    <xf numFmtId="0" fontId="17" fillId="0" borderId="0" xfId="4" applyFont="1" applyFill="1" applyBorder="1" applyAlignment="1" applyProtection="1">
      <alignment horizontal="left" vertical="center"/>
      <protection locked="0"/>
    </xf>
    <xf numFmtId="0" fontId="17" fillId="0" borderId="0" xfId="4" applyFont="1" applyFill="1" applyBorder="1" applyAlignment="1" applyProtection="1">
      <alignment vertical="center"/>
      <protection locked="0"/>
    </xf>
    <xf numFmtId="10" fontId="17" fillId="0" borderId="0" xfId="6" applyNumberFormat="1" applyFont="1" applyFill="1" applyBorder="1" applyAlignment="1" applyProtection="1">
      <alignment vertical="center"/>
      <protection locked="0"/>
    </xf>
    <xf numFmtId="42" fontId="17" fillId="0" borderId="0" xfId="4" applyNumberFormat="1" applyFont="1" applyFill="1" applyBorder="1" applyAlignment="1" applyProtection="1">
      <alignment vertical="center"/>
      <protection locked="0"/>
    </xf>
    <xf numFmtId="0" fontId="17" fillId="0" borderId="6" xfId="4" applyFont="1" applyFill="1" applyBorder="1" applyAlignment="1" applyProtection="1">
      <alignment horizontal="left" vertical="center"/>
      <protection locked="0"/>
    </xf>
    <xf numFmtId="11" fontId="17" fillId="0" borderId="0" xfId="4" applyNumberFormat="1" applyFont="1" applyFill="1" applyBorder="1" applyAlignment="1" applyProtection="1">
      <alignment vertical="center"/>
      <protection locked="0"/>
    </xf>
    <xf numFmtId="42" fontId="13" fillId="3" borderId="0" xfId="3" applyNumberFormat="1" applyBorder="1" applyAlignment="1" applyProtection="1">
      <alignment vertical="center"/>
      <protection locked="0"/>
    </xf>
    <xf numFmtId="42" fontId="13" fillId="0" borderId="0" xfId="3" applyNumberFormat="1" applyFill="1" applyBorder="1" applyAlignment="1" applyProtection="1">
      <alignment vertical="center"/>
      <protection locked="0"/>
    </xf>
    <xf numFmtId="9" fontId="17" fillId="0" borderId="0" xfId="4" applyNumberFormat="1" applyFont="1" applyFill="1" applyBorder="1" applyAlignment="1" applyProtection="1">
      <alignment vertical="center"/>
      <protection locked="0"/>
    </xf>
    <xf numFmtId="0" fontId="17" fillId="5" borderId="0" xfId="4" applyFont="1" applyFill="1" applyBorder="1" applyAlignment="1" applyProtection="1">
      <alignment horizontal="left" vertical="center"/>
      <protection locked="0"/>
    </xf>
    <xf numFmtId="10" fontId="17" fillId="0" borderId="0" xfId="4" applyNumberFormat="1" applyFont="1" applyFill="1" applyBorder="1" applyAlignment="1" applyProtection="1">
      <alignment vertical="center"/>
      <protection locked="0"/>
    </xf>
    <xf numFmtId="41" fontId="17" fillId="0" borderId="6" xfId="4" applyNumberFormat="1" applyFont="1" applyFill="1" applyBorder="1" applyAlignment="1" applyProtection="1">
      <alignment vertical="center"/>
      <protection locked="0"/>
    </xf>
    <xf numFmtId="41" fontId="17" fillId="0" borderId="0" xfId="4" applyNumberFormat="1" applyFont="1" applyFill="1" applyBorder="1" applyAlignment="1" applyProtection="1">
      <alignment vertical="center"/>
      <protection locked="0"/>
    </xf>
    <xf numFmtId="0" fontId="19" fillId="0" borderId="0" xfId="4" applyFont="1" applyFill="1" applyBorder="1" applyAlignment="1" applyProtection="1">
      <alignment horizontal="left" vertical="center"/>
      <protection locked="0"/>
    </xf>
    <xf numFmtId="42" fontId="18" fillId="0" borderId="0" xfId="4" applyNumberFormat="1" applyFont="1" applyFill="1" applyBorder="1" applyAlignment="1" applyProtection="1">
      <alignment vertical="center"/>
      <protection locked="0"/>
    </xf>
    <xf numFmtId="0" fontId="18" fillId="0" borderId="0" xfId="4" applyNumberFormat="1" applyFont="1" applyFill="1" applyBorder="1" applyAlignment="1" applyProtection="1">
      <alignment horizontal="left" vertical="center"/>
      <protection locked="0"/>
    </xf>
    <xf numFmtId="0" fontId="18" fillId="0" borderId="0" xfId="4" applyNumberFormat="1" applyFont="1" applyFill="1" applyBorder="1" applyAlignment="1" applyProtection="1">
      <alignment vertical="center"/>
      <protection locked="0"/>
    </xf>
    <xf numFmtId="1" fontId="17" fillId="0" borderId="0" xfId="4" applyNumberFormat="1" applyFont="1" applyFill="1" applyBorder="1" applyAlignment="1" applyProtection="1">
      <alignment vertical="center"/>
      <protection locked="0"/>
    </xf>
    <xf numFmtId="1" fontId="17" fillId="0" borderId="0" xfId="4" applyNumberFormat="1" applyFont="1" applyFill="1" applyBorder="1" applyProtection="1">
      <alignment vertical="center"/>
      <protection locked="0"/>
    </xf>
    <xf numFmtId="14" fontId="17" fillId="0" borderId="0" xfId="4" applyNumberFormat="1" applyFont="1" applyFill="1" applyBorder="1" applyAlignment="1" applyProtection="1">
      <alignment horizontal="right" vertical="center"/>
      <protection locked="0"/>
    </xf>
    <xf numFmtId="14" fontId="17" fillId="0" borderId="0" xfId="4" applyNumberFormat="1" applyFont="1" applyFill="1" applyProtection="1">
      <alignment vertical="center"/>
      <protection locked="0"/>
    </xf>
    <xf numFmtId="10" fontId="17" fillId="0" borderId="0" xfId="4" applyNumberFormat="1" applyFont="1" applyFill="1" applyBorder="1" applyProtection="1">
      <alignment vertical="center"/>
      <protection locked="0"/>
    </xf>
    <xf numFmtId="10" fontId="18" fillId="0" borderId="0" xfId="4" applyNumberFormat="1" applyFont="1" applyFill="1" applyBorder="1" applyAlignment="1" applyProtection="1">
      <alignment vertical="center"/>
      <protection locked="0"/>
    </xf>
    <xf numFmtId="9" fontId="17" fillId="0" borderId="0" xfId="4" applyNumberFormat="1" applyFont="1" applyFill="1" applyProtection="1">
      <alignment vertical="center"/>
      <protection locked="0"/>
    </xf>
    <xf numFmtId="9" fontId="17" fillId="0" borderId="0" xfId="4" applyNumberFormat="1" applyFont="1" applyFill="1" applyBorder="1" applyProtection="1">
      <alignment vertical="center"/>
      <protection locked="0"/>
    </xf>
    <xf numFmtId="164" fontId="18" fillId="0" borderId="0" xfId="4" applyNumberFormat="1" applyFont="1" applyFill="1" applyBorder="1" applyAlignment="1" applyProtection="1">
      <alignment horizontal="right" vertical="center"/>
      <protection locked="0"/>
    </xf>
    <xf numFmtId="164" fontId="18" fillId="0" borderId="0" xfId="4" applyNumberFormat="1" applyFont="1" applyFill="1" applyBorder="1" applyAlignment="1" applyProtection="1">
      <alignment horizontal="right" vertical="center" indent="1"/>
      <protection locked="0"/>
    </xf>
    <xf numFmtId="167" fontId="17" fillId="0" borderId="0" xfId="4" applyNumberFormat="1" applyFont="1" applyFill="1" applyBorder="1" applyAlignment="1" applyProtection="1">
      <alignment vertical="center"/>
      <protection locked="0"/>
    </xf>
    <xf numFmtId="167" fontId="17" fillId="0" borderId="0" xfId="4" applyNumberFormat="1" applyFont="1" applyFill="1" applyBorder="1" applyAlignment="1" applyProtection="1">
      <alignment horizontal="right" vertical="center"/>
      <protection locked="0"/>
    </xf>
    <xf numFmtId="164" fontId="17" fillId="0" borderId="0" xfId="4" applyNumberFormat="1" applyFont="1" applyFill="1" applyBorder="1" applyAlignment="1" applyProtection="1">
      <alignment vertical="center"/>
      <protection locked="0"/>
    </xf>
    <xf numFmtId="164" fontId="17" fillId="0" borderId="0" xfId="4" applyNumberFormat="1" applyFont="1" applyFill="1" applyBorder="1" applyAlignment="1" applyProtection="1">
      <alignment horizontal="right" vertical="center"/>
      <protection locked="0"/>
    </xf>
    <xf numFmtId="164" fontId="18" fillId="0" borderId="0" xfId="4" applyNumberFormat="1" applyFont="1" applyFill="1" applyBorder="1" applyAlignment="1" applyProtection="1">
      <alignment vertical="center"/>
      <protection locked="0"/>
    </xf>
    <xf numFmtId="164" fontId="17" fillId="0" borderId="0" xfId="4" applyNumberFormat="1" applyFont="1" applyFill="1" applyBorder="1" applyProtection="1">
      <alignment vertical="center"/>
      <protection locked="0"/>
    </xf>
    <xf numFmtId="164" fontId="17" fillId="0" borderId="0" xfId="4" applyNumberFormat="1" applyFont="1" applyFill="1" applyProtection="1">
      <alignment vertical="center"/>
      <protection locked="0"/>
    </xf>
    <xf numFmtId="0" fontId="10" fillId="0" borderId="0" xfId="0" applyFont="1" applyFill="1" applyBorder="1" applyAlignment="1" applyProtection="1">
      <alignment horizontal="right" vertical="center"/>
      <protection hidden="1"/>
    </xf>
    <xf numFmtId="168" fontId="17" fillId="0" borderId="0" xfId="4" applyNumberFormat="1" applyFont="1" applyFill="1" applyProtection="1">
      <alignment vertical="center"/>
      <protection locked="0"/>
    </xf>
    <xf numFmtId="0" fontId="17" fillId="5" borderId="0" xfId="4" applyFont="1" applyFill="1" applyBorder="1" applyAlignment="1" applyProtection="1">
      <alignment vertical="center"/>
      <protection locked="0"/>
    </xf>
    <xf numFmtId="164" fontId="15" fillId="4" borderId="7" xfId="0" applyNumberFormat="1" applyFont="1" applyFill="1" applyBorder="1" applyAlignment="1" applyProtection="1">
      <alignment horizontal="right" vertical="center"/>
      <protection hidden="1"/>
    </xf>
    <xf numFmtId="2" fontId="13" fillId="3" borderId="0" xfId="3" applyNumberFormat="1" applyBorder="1" applyAlignment="1" applyProtection="1">
      <alignment vertical="center"/>
      <protection locked="0"/>
    </xf>
    <xf numFmtId="0" fontId="18" fillId="0" borderId="0" xfId="4" applyFont="1" applyProtection="1">
      <alignment vertical="center"/>
      <protection locked="0"/>
    </xf>
    <xf numFmtId="1" fontId="17" fillId="0" borderId="0" xfId="4" applyNumberFormat="1" applyFont="1" applyProtection="1">
      <alignment vertical="center"/>
      <protection locked="0"/>
    </xf>
    <xf numFmtId="0" fontId="17" fillId="0" borderId="0" xfId="4" applyFont="1" applyProtection="1">
      <alignment vertical="center"/>
      <protection locked="0"/>
    </xf>
    <xf numFmtId="14" fontId="17" fillId="0" borderId="0" xfId="4" applyNumberFormat="1" applyFont="1" applyAlignment="1" applyProtection="1">
      <alignment horizontal="right" vertical="center"/>
      <protection locked="0"/>
    </xf>
    <xf numFmtId="10" fontId="17" fillId="0" borderId="0" xfId="4" applyNumberFormat="1" applyFont="1" applyProtection="1">
      <alignment vertical="center"/>
      <protection locked="0"/>
    </xf>
    <xf numFmtId="168" fontId="17" fillId="0" borderId="0" xfId="4" applyNumberFormat="1" applyFont="1" applyProtection="1">
      <alignment vertical="center"/>
      <protection locked="0"/>
    </xf>
    <xf numFmtId="164" fontId="18" fillId="0" borderId="0" xfId="4" applyNumberFormat="1" applyFont="1" applyAlignment="1" applyProtection="1">
      <alignment horizontal="right" vertical="center"/>
      <protection locked="0"/>
    </xf>
    <xf numFmtId="167" fontId="17" fillId="0" borderId="0" xfId="4" applyNumberFormat="1" applyFont="1" applyAlignment="1" applyProtection="1">
      <alignment horizontal="right" vertical="center"/>
      <protection locked="0"/>
    </xf>
    <xf numFmtId="164" fontId="17" fillId="0" borderId="0" xfId="4" applyNumberFormat="1" applyFont="1" applyAlignment="1" applyProtection="1">
      <alignment horizontal="right" vertical="center"/>
      <protection locked="0"/>
    </xf>
    <xf numFmtId="164" fontId="17" fillId="0" borderId="0" xfId="4" applyNumberFormat="1" applyFont="1" applyProtection="1">
      <alignment vertical="center"/>
      <protection locked="0"/>
    </xf>
    <xf numFmtId="0" fontId="18" fillId="0" borderId="0" xfId="4" applyFont="1" applyAlignment="1" applyProtection="1">
      <alignment horizontal="right" vertical="center"/>
      <protection locked="0"/>
    </xf>
    <xf numFmtId="0" fontId="27" fillId="0" borderId="0" xfId="15" applyFill="1" applyProtection="1">
      <alignment horizontal="right" vertical="center" indent="1"/>
      <protection hidden="1"/>
    </xf>
    <xf numFmtId="0" fontId="27" fillId="0" borderId="0" xfId="15" applyFill="1" applyAlignment="1" applyProtection="1">
      <alignment horizontal="left" vertical="center" indent="1"/>
      <protection hidden="1"/>
    </xf>
    <xf numFmtId="165" fontId="22" fillId="0" borderId="0" xfId="9" applyNumberFormat="1" applyFill="1" applyBorder="1" applyAlignment="1" applyProtection="1">
      <alignment vertical="center"/>
      <protection hidden="1"/>
    </xf>
    <xf numFmtId="9" fontId="27" fillId="0" borderId="0" xfId="15" applyNumberFormat="1" applyFill="1" applyProtection="1">
      <alignment horizontal="right" vertical="center" indent="1"/>
      <protection hidden="1"/>
    </xf>
    <xf numFmtId="9" fontId="27" fillId="0" borderId="0" xfId="15" applyNumberFormat="1" applyFill="1" applyAlignment="1" applyProtection="1">
      <alignment horizontal="left" vertical="center" indent="1"/>
      <protection hidden="1"/>
    </xf>
    <xf numFmtId="42" fontId="29" fillId="7" borderId="13" xfId="24" applyBorder="1" applyProtection="1">
      <alignment horizontal="left" vertical="center" indent="1"/>
      <protection hidden="1"/>
    </xf>
    <xf numFmtId="0" fontId="36" fillId="0" borderId="0" xfId="15" applyFont="1" applyFill="1" applyProtection="1">
      <alignment horizontal="right" vertical="center" indent="1"/>
      <protection hidden="1"/>
    </xf>
    <xf numFmtId="42" fontId="26" fillId="7" borderId="5" xfId="17" applyBorder="1">
      <alignment horizontal="left" vertical="center" indent="1"/>
    </xf>
    <xf numFmtId="42" fontId="26" fillId="7" borderId="2" xfId="17" applyBorder="1">
      <alignment horizontal="left" vertical="center" indent="1"/>
    </xf>
    <xf numFmtId="42" fontId="26" fillId="7" borderId="3" xfId="17" applyBorder="1">
      <alignment horizontal="left" vertical="center" indent="1"/>
    </xf>
    <xf numFmtId="165" fontId="37" fillId="0" borderId="0" xfId="15" applyNumberFormat="1" applyFont="1" applyFill="1" applyProtection="1">
      <alignment horizontal="right" vertical="center" indent="1"/>
      <protection hidden="1"/>
    </xf>
    <xf numFmtId="42" fontId="26" fillId="7" borderId="0" xfId="17" applyBorder="1">
      <alignment horizontal="left" vertical="center" indent="1"/>
    </xf>
    <xf numFmtId="42" fontId="38" fillId="0" borderId="0" xfId="17" applyFont="1" applyFill="1" applyBorder="1">
      <alignment horizontal="left" vertical="center" indent="1"/>
    </xf>
    <xf numFmtId="49" fontId="10" fillId="0" borderId="15" xfId="0" applyNumberFormat="1" applyFont="1" applyFill="1" applyBorder="1" applyAlignment="1" applyProtection="1">
      <alignment horizontal="left" vertical="center"/>
      <protection hidden="1"/>
    </xf>
    <xf numFmtId="0" fontId="4" fillId="0" borderId="0" xfId="0" applyFont="1" applyFill="1" applyBorder="1" applyProtection="1">
      <alignment vertical="center"/>
      <protection hidden="1"/>
    </xf>
    <xf numFmtId="0" fontId="4" fillId="0" borderId="0" xfId="0" applyFont="1" applyFill="1" applyBorder="1">
      <alignment vertical="center"/>
    </xf>
    <xf numFmtId="0" fontId="33" fillId="0" borderId="0" xfId="2"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164" fontId="12" fillId="0" borderId="0" xfId="0" applyNumberFormat="1" applyFont="1" applyFill="1" applyBorder="1" applyAlignment="1" applyProtection="1">
      <alignment vertical="center"/>
      <protection hidden="1"/>
    </xf>
    <xf numFmtId="164" fontId="18" fillId="0" borderId="0" xfId="4" applyNumberFormat="1" applyFont="1" applyFill="1" applyAlignment="1" applyProtection="1">
      <alignment horizontal="right" vertical="center"/>
      <protection locked="0"/>
    </xf>
    <xf numFmtId="0" fontId="5" fillId="11" borderId="0" xfId="30" applyFont="1" applyFill="1" applyAlignment="1">
      <alignment vertical="center"/>
    </xf>
    <xf numFmtId="0" fontId="26" fillId="2" borderId="0" xfId="30" applyFill="1" applyAlignment="1">
      <alignment vertical="center"/>
    </xf>
    <xf numFmtId="0" fontId="26" fillId="0" borderId="0" xfId="30" applyFill="1" applyAlignment="1">
      <alignment vertical="center"/>
    </xf>
    <xf numFmtId="0" fontId="26" fillId="0" borderId="0" xfId="30" applyFill="1" applyBorder="1" applyAlignment="1">
      <alignment vertical="center"/>
    </xf>
    <xf numFmtId="0" fontId="29" fillId="0" borderId="12" xfId="10" applyFont="1" applyFill="1" applyBorder="1" applyAlignment="1" applyProtection="1">
      <alignment horizontal="left" vertical="center" indent="1"/>
    </xf>
    <xf numFmtId="0" fontId="29" fillId="4" borderId="12" xfId="10" applyFont="1" applyFill="1" applyBorder="1" applyAlignment="1" applyProtection="1">
      <alignment horizontal="left" vertical="center" indent="1"/>
    </xf>
    <xf numFmtId="0" fontId="29" fillId="0" borderId="0" xfId="10" applyFont="1" applyFill="1" applyBorder="1" applyAlignment="1" applyProtection="1">
      <alignment horizontal="left" vertical="center" indent="1"/>
    </xf>
    <xf numFmtId="0" fontId="0" fillId="0" borderId="0" xfId="10" applyFont="1" applyFill="1" applyBorder="1" applyAlignment="1" applyProtection="1">
      <alignment vertical="center"/>
    </xf>
    <xf numFmtId="0" fontId="41" fillId="0" borderId="0" xfId="10" applyFont="1" applyFill="1" applyBorder="1" applyAlignment="1" applyProtection="1">
      <alignment horizontal="left" vertical="center" indent="1"/>
    </xf>
    <xf numFmtId="0" fontId="42" fillId="0" borderId="12" xfId="22" applyFont="1" applyFill="1">
      <alignment horizontal="left" vertical="center" indent="1"/>
    </xf>
    <xf numFmtId="0" fontId="29" fillId="4" borderId="12" xfId="22" applyFill="1">
      <alignment horizontal="left" vertical="center" indent="1"/>
    </xf>
    <xf numFmtId="0" fontId="29" fillId="0" borderId="12" xfId="22" applyFill="1">
      <alignment horizontal="left" vertical="center" indent="1"/>
    </xf>
    <xf numFmtId="0" fontId="29" fillId="0" borderId="0" xfId="22" applyFill="1" applyBorder="1">
      <alignment horizontal="left" vertical="center" indent="1"/>
    </xf>
    <xf numFmtId="0" fontId="29" fillId="4" borderId="0" xfId="22" applyFill="1" applyBorder="1">
      <alignment horizontal="left" vertical="center" indent="1"/>
    </xf>
    <xf numFmtId="0" fontId="6" fillId="0" borderId="0" xfId="30" applyFont="1" applyFill="1" applyAlignment="1">
      <alignment vertical="center"/>
    </xf>
    <xf numFmtId="0" fontId="5" fillId="0" borderId="0" xfId="30" applyFont="1" applyFill="1" applyAlignment="1">
      <alignment vertical="center"/>
    </xf>
    <xf numFmtId="9" fontId="17" fillId="0" borderId="0" xfId="4" applyNumberFormat="1" applyFont="1" applyProtection="1">
      <alignment vertical="center"/>
      <protection locked="0"/>
    </xf>
    <xf numFmtId="168" fontId="17" fillId="0" borderId="0" xfId="6" applyNumberFormat="1" applyFont="1" applyAlignment="1" applyProtection="1">
      <alignment vertical="center"/>
      <protection locked="0"/>
    </xf>
    <xf numFmtId="10" fontId="18" fillId="0" borderId="0" xfId="6" applyNumberFormat="1" applyFont="1" applyAlignment="1" applyProtection="1">
      <alignment horizontal="right" vertical="center"/>
      <protection locked="0"/>
    </xf>
    <xf numFmtId="10" fontId="17" fillId="0" borderId="0" xfId="6" applyNumberFormat="1" applyFont="1" applyAlignment="1" applyProtection="1">
      <alignment vertical="center"/>
      <protection locked="0"/>
    </xf>
    <xf numFmtId="3" fontId="17" fillId="0" borderId="0" xfId="4" applyNumberFormat="1" applyFont="1" applyProtection="1">
      <alignment vertical="center"/>
      <protection locked="0"/>
    </xf>
    <xf numFmtId="10" fontId="4" fillId="0" borderId="0" xfId="0" applyNumberFormat="1" applyFont="1" applyAlignment="1"/>
    <xf numFmtId="9" fontId="17" fillId="0" borderId="0" xfId="5" applyFont="1" applyAlignment="1" applyProtection="1">
      <alignment vertical="center"/>
      <protection locked="0"/>
    </xf>
    <xf numFmtId="11" fontId="17" fillId="0" borderId="0" xfId="4" applyNumberFormat="1" applyFont="1" applyProtection="1">
      <alignment vertical="center"/>
      <protection locked="0"/>
    </xf>
    <xf numFmtId="10" fontId="18" fillId="0" borderId="0" xfId="4" applyNumberFormat="1" applyFont="1" applyAlignment="1" applyProtection="1">
      <alignment horizontal="right" vertical="center"/>
      <protection locked="0"/>
    </xf>
    <xf numFmtId="1" fontId="44" fillId="12" borderId="0" xfId="31" applyNumberFormat="1" applyAlignment="1" applyProtection="1">
      <alignment vertical="center"/>
      <protection locked="0"/>
    </xf>
    <xf numFmtId="0" fontId="44" fillId="12" borderId="0" xfId="31" applyAlignment="1" applyProtection="1">
      <alignment vertical="center"/>
      <protection locked="0"/>
    </xf>
    <xf numFmtId="14" fontId="44" fillId="12" borderId="0" xfId="31" applyNumberFormat="1" applyAlignment="1" applyProtection="1">
      <alignment horizontal="right" vertical="center"/>
      <protection locked="0"/>
    </xf>
    <xf numFmtId="10" fontId="44" fillId="12" borderId="0" xfId="31" applyNumberFormat="1" applyAlignment="1" applyProtection="1">
      <alignment vertical="center"/>
      <protection locked="0"/>
    </xf>
    <xf numFmtId="168" fontId="44" fillId="12" borderId="0" xfId="31" applyNumberFormat="1" applyAlignment="1" applyProtection="1">
      <alignment vertical="center"/>
      <protection locked="0"/>
    </xf>
    <xf numFmtId="164" fontId="44" fillId="12" borderId="0" xfId="31" applyNumberFormat="1" applyAlignment="1" applyProtection="1">
      <alignment horizontal="right" vertical="center"/>
      <protection locked="0"/>
    </xf>
    <xf numFmtId="167" fontId="44" fillId="12" borderId="0" xfId="31" applyNumberFormat="1" applyAlignment="1" applyProtection="1">
      <alignment horizontal="right" vertical="center"/>
      <protection locked="0"/>
    </xf>
    <xf numFmtId="164" fontId="44" fillId="12" borderId="0" xfId="31" applyNumberFormat="1" applyAlignment="1" applyProtection="1">
      <alignment vertical="center"/>
      <protection locked="0"/>
    </xf>
    <xf numFmtId="0" fontId="44" fillId="12" borderId="0" xfId="31" applyAlignment="1" applyProtection="1">
      <alignment horizontal="right" vertical="center"/>
      <protection locked="0"/>
    </xf>
    <xf numFmtId="9" fontId="44" fillId="12" borderId="0" xfId="31" applyNumberFormat="1" applyAlignment="1" applyProtection="1">
      <alignment vertical="center"/>
      <protection locked="0"/>
    </xf>
    <xf numFmtId="42" fontId="29" fillId="7" borderId="24" xfId="24" applyBorder="1" applyProtection="1">
      <alignment horizontal="left" vertical="center" indent="1"/>
      <protection hidden="1"/>
    </xf>
    <xf numFmtId="42" fontId="29" fillId="7" borderId="25" xfId="24" applyBorder="1" applyAlignment="1" applyProtection="1">
      <alignment horizontal="right" vertical="center" indent="1"/>
      <protection hidden="1"/>
    </xf>
    <xf numFmtId="42" fontId="29" fillId="7" borderId="25" xfId="24" applyBorder="1" applyProtection="1">
      <alignment horizontal="left" vertical="center" indent="1"/>
      <protection hidden="1"/>
    </xf>
    <xf numFmtId="165" fontId="29" fillId="0" borderId="12" xfId="22" applyNumberFormat="1" applyFill="1" applyProtection="1">
      <alignment horizontal="left" vertical="center" indent="1"/>
      <protection hidden="1"/>
    </xf>
    <xf numFmtId="42" fontId="27" fillId="0" borderId="0" xfId="15" applyNumberFormat="1" applyFill="1" applyProtection="1">
      <alignment horizontal="right" vertical="center" indent="1"/>
      <protection hidden="1"/>
    </xf>
    <xf numFmtId="42" fontId="26" fillId="0" borderId="8" xfId="13" applyFont="1" applyFill="1" applyProtection="1">
      <alignment horizontal="left" vertical="center" indent="1"/>
      <protection locked="0" hidden="1"/>
    </xf>
    <xf numFmtId="0" fontId="12" fillId="0" borderId="0" xfId="0" applyFont="1" applyFill="1" applyBorder="1" applyProtection="1">
      <alignment vertical="center"/>
      <protection hidden="1"/>
    </xf>
    <xf numFmtId="164" fontId="4" fillId="0" borderId="0" xfId="0" applyNumberFormat="1" applyFont="1" applyFill="1" applyBorder="1" applyProtection="1">
      <alignment vertical="center"/>
      <protection hidden="1"/>
    </xf>
    <xf numFmtId="0" fontId="16" fillId="0" borderId="0" xfId="0" applyFont="1" applyFill="1" applyBorder="1" applyProtection="1">
      <alignment vertical="center"/>
      <protection locked="0" hidden="1"/>
    </xf>
    <xf numFmtId="0" fontId="27" fillId="0" borderId="0" xfId="15" applyFill="1" applyBorder="1" applyAlignment="1" applyProtection="1">
      <alignment horizontal="left" vertical="center" indent="1"/>
      <protection hidden="1"/>
    </xf>
    <xf numFmtId="0" fontId="35" fillId="0" borderId="0" xfId="15" applyFont="1" applyFill="1" applyBorder="1" applyAlignment="1" applyProtection="1">
      <alignment horizontal="left" vertical="center" indent="1"/>
      <protection locked="0" hidden="1"/>
    </xf>
    <xf numFmtId="0" fontId="12" fillId="0" borderId="0" xfId="0" applyFont="1" applyFill="1" applyBorder="1">
      <alignment vertical="center"/>
    </xf>
    <xf numFmtId="0" fontId="26" fillId="0" borderId="0" xfId="16" applyFill="1" applyBorder="1" applyProtection="1">
      <alignment horizontal="left" vertical="center" indent="1"/>
      <protection hidden="1"/>
    </xf>
    <xf numFmtId="0" fontId="27" fillId="0" borderId="14" xfId="26" applyProtection="1">
      <alignment horizontal="left" vertical="center" indent="1"/>
      <protection hidden="1"/>
    </xf>
    <xf numFmtId="0" fontId="45" fillId="0" borderId="0" xfId="15" applyFont="1" applyFill="1" applyAlignment="1" applyProtection="1">
      <alignment horizontal="center" vertical="center"/>
      <protection hidden="1"/>
    </xf>
    <xf numFmtId="0" fontId="39" fillId="0" borderId="0" xfId="7" applyNumberFormat="1" applyFont="1" applyFill="1" applyBorder="1" applyAlignment="1" applyProtection="1">
      <alignment horizontal="center"/>
      <protection locked="0"/>
    </xf>
    <xf numFmtId="42" fontId="26" fillId="0" borderId="2" xfId="17" applyFill="1" applyBorder="1">
      <alignment horizontal="left" vertical="center" indent="1"/>
    </xf>
    <xf numFmtId="42" fontId="26" fillId="0" borderId="3" xfId="17" applyFill="1" applyBorder="1">
      <alignment horizontal="left" vertical="center" indent="1"/>
    </xf>
    <xf numFmtId="0" fontId="26" fillId="0" borderId="0" xfId="30" applyFill="1" applyBorder="1" applyAlignment="1">
      <alignment vertical="center"/>
    </xf>
    <xf numFmtId="0" fontId="20" fillId="0" borderId="16" xfId="7" applyFill="1" applyBorder="1" applyAlignment="1" applyProtection="1">
      <alignment horizontal="center" vertical="center"/>
    </xf>
    <xf numFmtId="0" fontId="20" fillId="0" borderId="17" xfId="7" applyFill="1" applyBorder="1" applyAlignment="1" applyProtection="1">
      <alignment horizontal="center" vertical="center"/>
    </xf>
    <xf numFmtId="0" fontId="20" fillId="0" borderId="18" xfId="7" applyFill="1" applyBorder="1" applyAlignment="1" applyProtection="1">
      <alignment horizontal="center" vertical="center"/>
    </xf>
    <xf numFmtId="0" fontId="40" fillId="0" borderId="19" xfId="8" applyFont="1" applyFill="1" applyBorder="1" applyAlignment="1" applyProtection="1">
      <alignment horizontal="center" vertical="top"/>
    </xf>
    <xf numFmtId="0" fontId="21" fillId="0" borderId="20" xfId="8" applyFill="1" applyBorder="1" applyAlignment="1" applyProtection="1">
      <alignment horizontal="center" vertical="top"/>
    </xf>
    <xf numFmtId="0" fontId="21" fillId="0" borderId="21" xfId="8" applyFill="1" applyBorder="1" applyAlignment="1" applyProtection="1">
      <alignment horizontal="center" vertical="top"/>
    </xf>
    <xf numFmtId="0" fontId="36" fillId="0" borderId="0" xfId="27" applyFont="1" applyFill="1" applyBorder="1" applyAlignment="1">
      <alignment horizontal="right" vertical="center" wrapText="1"/>
    </xf>
    <xf numFmtId="170" fontId="43" fillId="0" borderId="22" xfId="23" applyNumberFormat="1" applyFont="1" applyFill="1" applyBorder="1">
      <alignment horizontal="left" vertical="center" indent="1"/>
    </xf>
    <xf numFmtId="0" fontId="43" fillId="0" borderId="22" xfId="23" applyFont="1" applyFill="1" applyBorder="1">
      <alignment horizontal="left" vertical="center" indent="1"/>
    </xf>
    <xf numFmtId="3" fontId="20" fillId="0" borderId="0" xfId="7" applyNumberFormat="1" applyFill="1" applyBorder="1" applyAlignment="1" applyProtection="1">
      <alignment horizontal="left" indent="2"/>
      <protection hidden="1"/>
    </xf>
    <xf numFmtId="0" fontId="27" fillId="0" borderId="0" xfId="15" applyFill="1">
      <alignment horizontal="right" vertical="center" indent="1"/>
    </xf>
    <xf numFmtId="42" fontId="27" fillId="0" borderId="0" xfId="15" applyNumberFormat="1" applyFill="1">
      <alignment horizontal="right" vertical="center" indent="1"/>
    </xf>
    <xf numFmtId="42" fontId="29" fillId="7" borderId="23" xfId="24" applyBorder="1" applyAlignment="1" applyProtection="1">
      <alignment horizontal="right" vertical="center" indent="1"/>
      <protection hidden="1"/>
    </xf>
  </cellXfs>
  <cellStyles count="32">
    <cellStyle name="Doc title" xfId="7" xr:uid="{E5B5527F-8B69-41FA-A103-26AD15A02AA1}"/>
    <cellStyle name="Euro" xfId="1" xr:uid="{00000000-0005-0000-0000-000000000000}"/>
    <cellStyle name="Gevolgde hyperlink" xfId="2" builtinId="9"/>
    <cellStyle name="Goed" xfId="3" builtinId="26"/>
    <cellStyle name="Header_1" xfId="8" xr:uid="{A633216A-7C39-4CD3-ADFE-F1EAE3AB436F}"/>
    <cellStyle name="Header_3_1" xfId="9" xr:uid="{33C10549-A9EF-4700-BDA3-586E7369F8D1}"/>
    <cellStyle name="Hyperlink 2" xfId="10" xr:uid="{64ADF87B-D1EA-4741-9989-708FD3547FB7}"/>
    <cellStyle name="invoer - default" xfId="11" xr:uid="{66CC5C12-2B93-4586-A364-9688D4AE6E7B}"/>
    <cellStyle name="invoer - toelichting" xfId="12" xr:uid="{C15F65E1-34D1-45D4-A299-D77CF90F1E1D}"/>
    <cellStyle name="Invoer financieel" xfId="13" xr:uid="{6B82DE0F-1FB1-475E-AC3C-C51E089F9C9F}"/>
    <cellStyle name="labels" xfId="14" xr:uid="{24210600-BE9D-4EB7-B084-F0C94C4FEAF4}"/>
    <cellStyle name="labels-new" xfId="15" xr:uid="{2A39F7E9-7F58-4637-9B1B-FF6915DE3B44}"/>
    <cellStyle name="Neutraal" xfId="31" builtinId="28"/>
    <cellStyle name="Normal 2" xfId="4" xr:uid="{00000000-0005-0000-0000-000005000000}"/>
    <cellStyle name="Output - default" xfId="16" xr:uid="{B591611C-EA1A-4D1C-86C6-91408ADE3854}"/>
    <cellStyle name="Output financieel" xfId="17" xr:uid="{4D6F136C-5E7E-4A49-8AC6-22608AAC2947}"/>
    <cellStyle name="Percent 2" xfId="6" xr:uid="{00000000-0005-0000-0000-000007000000}"/>
    <cellStyle name="Procent" xfId="5" builtinId="5"/>
    <cellStyle name="Slecht" xfId="18" xr:uid="{2888C17A-1E0E-477B-A925-0BCE0CD3C34F}"/>
    <cellStyle name="Standaard" xfId="0" builtinId="0"/>
    <cellStyle name="Standaard 2" xfId="30" xr:uid="{C6A53D20-4518-46DC-9A98-7C1AF1164066}"/>
    <cellStyle name="Stijl 1" xfId="19" xr:uid="{6346A874-D158-4A6C-AB97-DC246D576F05}"/>
    <cellStyle name="style sheet label" xfId="20" xr:uid="{66E6FD79-14FE-408C-A14F-F9B1FF60E091}"/>
    <cellStyle name="Table bottom" xfId="21" xr:uid="{E63F8948-2F4B-4A68-B3A9-0C9C2C5ED018}"/>
    <cellStyle name="Table head" xfId="22" xr:uid="{54A1EE45-EC9A-49AD-B52C-A20A94EC2CD7}"/>
    <cellStyle name="table row" xfId="23" xr:uid="{C65F5262-840C-4B5E-B69B-7DAB92D568B9}"/>
    <cellStyle name="table_bottom_rendered_fin" xfId="24" xr:uid="{77EB40CD-62F2-4BFB-980B-A700CBED2C72}"/>
    <cellStyle name="test 10" xfId="25" xr:uid="{74C251C4-64ED-48DC-8F9C-E33BF79A1941}"/>
    <cellStyle name="toelichting" xfId="26" xr:uid="{9DC9333C-B093-425C-8D99-0109A0780FBF}"/>
    <cellStyle name="Toelichting document" xfId="27" xr:uid="{FC9AE299-7E17-416C-899D-DE3DE6AAE3C1}"/>
    <cellStyle name="Top header" xfId="28" xr:uid="{8DA19AC1-BE55-4A2E-BF3A-7ABF1E7A7168}"/>
    <cellStyle name="warning" xfId="29" xr:uid="{2B3D9B1C-0581-4592-B5BD-4B42102BCBE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mruColors>
      <color rgb="FF88B5EC"/>
      <color rgb="FF4A90E2"/>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spPr>
            <a:solidFill>
              <a:srgbClr val="4A90E2"/>
            </a:solidFill>
            <a:ln>
              <a:noFill/>
            </a:ln>
            <a:effectLst/>
            <a:sp3d/>
          </c:spPr>
          <c:invertIfNegative val="0"/>
          <c:cat>
            <c:strRef>
              <c:f>'1'!$B$81:$B$83</c:f>
              <c:strCache>
                <c:ptCount val="3"/>
                <c:pt idx="0">
                  <c:v>Totaal belastingvoordeel nu/toekomst</c:v>
                </c:pt>
                <c:pt idx="1">
                  <c:v>Vennootschapsbelasting / AB-claim</c:v>
                </c:pt>
                <c:pt idx="2">
                  <c:v>Inkomstenbelasting</c:v>
                </c:pt>
              </c:strCache>
            </c:strRef>
          </c:cat>
          <c:val>
            <c:numRef>
              <c:f>'1'!$C$81:$C$83</c:f>
              <c:numCache>
                <c:formatCode>_("€"* #,##0_);_("€"* \(#,##0\);_("€"* "-"_);_(@_)</c:formatCode>
                <c:ptCount val="3"/>
                <c:pt idx="0">
                  <c:v>0</c:v>
                </c:pt>
                <c:pt idx="1">
                  <c:v>0</c:v>
                </c:pt>
                <c:pt idx="2">
                  <c:v>0</c:v>
                </c:pt>
              </c:numCache>
            </c:numRef>
          </c:val>
          <c:extLst>
            <c:ext xmlns:c16="http://schemas.microsoft.com/office/drawing/2014/chart" uri="{C3380CC4-5D6E-409C-BE32-E72D297353CC}">
              <c16:uniqueId val="{00000000-A32B-4363-9141-F41CB8AA4E31}"/>
            </c:ext>
          </c:extLst>
        </c:ser>
        <c:ser>
          <c:idx val="1"/>
          <c:order val="1"/>
          <c:spPr>
            <a:solidFill>
              <a:srgbClr val="88B5EC"/>
            </a:solidFill>
            <a:ln>
              <a:noFill/>
            </a:ln>
            <a:effectLst/>
            <a:sp3d/>
          </c:spPr>
          <c:invertIfNegative val="0"/>
          <c:cat>
            <c:strRef>
              <c:f>'1'!$B$81:$B$83</c:f>
              <c:strCache>
                <c:ptCount val="3"/>
                <c:pt idx="0">
                  <c:v>Totaal belastingvoordeel nu/toekomst</c:v>
                </c:pt>
                <c:pt idx="1">
                  <c:v>Vennootschapsbelasting / AB-claim</c:v>
                </c:pt>
                <c:pt idx="2">
                  <c:v>Inkomstenbelasting</c:v>
                </c:pt>
              </c:strCache>
            </c:strRef>
          </c:cat>
          <c:val>
            <c:numRef>
              <c:f>'1'!$D$81:$D$83</c:f>
              <c:numCache>
                <c:formatCode>_("€"* #,##0_);_("€"* \(#,##0\);_("€"* "-"_);_(@_)</c:formatCode>
                <c:ptCount val="3"/>
                <c:pt idx="0">
                  <c:v>0</c:v>
                </c:pt>
                <c:pt idx="1">
                  <c:v>0</c:v>
                </c:pt>
              </c:numCache>
            </c:numRef>
          </c:val>
          <c:extLst>
            <c:ext xmlns:c16="http://schemas.microsoft.com/office/drawing/2014/chart" uri="{C3380CC4-5D6E-409C-BE32-E72D297353CC}">
              <c16:uniqueId val="{00000001-A15F-44E2-9EF6-F68FA15B9E05}"/>
            </c:ext>
          </c:extLst>
        </c:ser>
        <c:dLbls>
          <c:showLegendKey val="0"/>
          <c:showVal val="0"/>
          <c:showCatName val="0"/>
          <c:showSerName val="0"/>
          <c:showPercent val="0"/>
          <c:showBubbleSize val="0"/>
        </c:dLbls>
        <c:gapWidth val="150"/>
        <c:shape val="box"/>
        <c:axId val="626813072"/>
        <c:axId val="1029866720"/>
        <c:axId val="0"/>
      </c:bar3DChart>
      <c:catAx>
        <c:axId val="6268130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029866720"/>
        <c:crosses val="autoZero"/>
        <c:auto val="1"/>
        <c:lblAlgn val="ctr"/>
        <c:lblOffset val="100"/>
        <c:noMultiLvlLbl val="0"/>
      </c:catAx>
      <c:valAx>
        <c:axId val="1029866720"/>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26813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F6" horiz="1" max="100" page="10" val="50"/>
</file>

<file path=xl/ctrlProps/ctrlProp2.xml><?xml version="1.0" encoding="utf-8"?>
<formControlPr xmlns="http://schemas.microsoft.com/office/spreadsheetml/2009/9/main" objectType="Scroll" dx="22" fmlaLink="F11" horiz="1" max="100" page="10" val="50"/>
</file>

<file path=xl/drawings/_rels/drawing1.xml.rels><?xml version="1.0" encoding="UTF-8" standalone="yes"?>
<Relationships xmlns="http://schemas.openxmlformats.org/package/2006/relationships"><Relationship Id="rId1" Type="http://schemas.openxmlformats.org/officeDocument/2006/relationships/hyperlink" Target="#'1'!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456131</xdr:colOff>
      <xdr:row>14</xdr:row>
      <xdr:rowOff>65143</xdr:rowOff>
    </xdr:from>
    <xdr:to>
      <xdr:col>16</xdr:col>
      <xdr:colOff>294852</xdr:colOff>
      <xdr:row>15</xdr:row>
      <xdr:rowOff>214471</xdr:rowOff>
    </xdr:to>
    <xdr:sp macro="" textlink="">
      <xdr:nvSpPr>
        <xdr:cNvPr id="2" name="Half kader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rot="8109060">
          <a:off x="6094931" y="4465693"/>
          <a:ext cx="295921" cy="387453"/>
        </a:xfrm>
        <a:prstGeom prst="halfFrame">
          <a:avLst/>
        </a:prstGeom>
        <a:solidFill>
          <a:srgbClr val="4A90E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371475</xdr:colOff>
      <xdr:row>8</xdr:row>
      <xdr:rowOff>76199</xdr:rowOff>
    </xdr:from>
    <xdr:to>
      <xdr:col>17</xdr:col>
      <xdr:colOff>371475</xdr:colOff>
      <xdr:row>13</xdr:row>
      <xdr:rowOff>133349</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752475" y="3047999"/>
          <a:ext cx="6286500" cy="1247775"/>
        </a:xfrm>
        <a:prstGeom prst="rect">
          <a:avLst/>
        </a:prstGeom>
        <a:noFill/>
        <a:ln>
          <a:noFill/>
        </a:ln>
        <a:effectLst/>
        <a:extLst>
          <a:ext uri="{909E8E84-426E-40dd-AFC4-6F175D3DCCD1}"/>
          <a:ext uri="{91240B29-F687-4f45-9708-019B960494DF}"/>
        </a:extLst>
      </xdr:spPr>
      <xdr:txBody>
        <a:bodyPr vertOverflow="clip" wrap="square" lIns="144000" tIns="118800" rIns="90000" bIns="46800" anchor="t" upright="1"/>
        <a:lstStyle/>
        <a:p>
          <a:pPr algn="l" rtl="0">
            <a:defRPr sz="1000"/>
          </a:pPr>
          <a:r>
            <a:rPr lang="nl-NL" sz="1200" b="0" i="0" u="none" strike="noStrike" baseline="0">
              <a:solidFill>
                <a:srgbClr val="000000"/>
              </a:solidFill>
              <a:latin typeface="Calibri" panose="020F0502020204030204" pitchFamily="34" charset="0"/>
              <a:ea typeface="Tahoma"/>
              <a:cs typeface="Calibri" panose="020F0502020204030204" pitchFamily="34" charset="0"/>
            </a:rPr>
            <a:t>Deze tool maakt inzichtelijk of het fiscaal aantrekkelijk is om (een deel van) een gift aan het goede doel vanuit de BV te doen. Giften zijn immers beperkt aftrekbaar in de inkomstenbelasting. Voor giftenaftrek geldt in de vennootschapsbelasting geen drempel en er mag tot 50% van de winst als gift worden afgetrokken. Ook is de verhoging in verband met giften aan een culturele instelling hoger in de vennootschapsbelasting. </a:t>
          </a:r>
        </a:p>
      </xdr:txBody>
    </xdr:sp>
    <xdr:clientData/>
  </xdr:twoCellAnchor>
  <xdr:twoCellAnchor>
    <xdr:from>
      <xdr:col>15</xdr:col>
      <xdr:colOff>441755</xdr:colOff>
      <xdr:row>14</xdr:row>
      <xdr:rowOff>66208</xdr:rowOff>
    </xdr:from>
    <xdr:to>
      <xdr:col>16</xdr:col>
      <xdr:colOff>280476</xdr:colOff>
      <xdr:row>15</xdr:row>
      <xdr:rowOff>215536</xdr:rowOff>
    </xdr:to>
    <xdr:sp macro="" textlink="">
      <xdr:nvSpPr>
        <xdr:cNvPr id="4" name="Half kader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bwMode="auto">
        <a:xfrm rot="8109060">
          <a:off x="6099605" y="4466758"/>
          <a:ext cx="276871" cy="387453"/>
        </a:xfrm>
        <a:prstGeom prst="halfFrame">
          <a:avLst/>
        </a:prstGeom>
        <a:solidFill>
          <a:srgbClr val="D9E1F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twoCellAnchor>
    <xdr:from>
      <xdr:col>1</xdr:col>
      <xdr:colOff>0</xdr:colOff>
      <xdr:row>1</xdr:row>
      <xdr:rowOff>0</xdr:rowOff>
    </xdr:from>
    <xdr:to>
      <xdr:col>19</xdr:col>
      <xdr:colOff>0</xdr:colOff>
      <xdr:row>25</xdr:row>
      <xdr:rowOff>0</xdr:rowOff>
    </xdr:to>
    <xdr:sp macro="" textlink="">
      <xdr:nvSpPr>
        <xdr:cNvPr id="5" name="Rectangle 1" descr="50%">
          <a:extLst>
            <a:ext uri="{FF2B5EF4-FFF2-40B4-BE49-F238E27FC236}">
              <a16:creationId xmlns:a16="http://schemas.microsoft.com/office/drawing/2014/main" id="{00000000-0008-0000-0000-000005000000}"/>
            </a:ext>
          </a:extLst>
        </xdr:cNvPr>
        <xdr:cNvSpPr>
          <a:spLocks noChangeArrowheads="1"/>
        </xdr:cNvSpPr>
      </xdr:nvSpPr>
      <xdr:spPr bwMode="auto">
        <a:xfrm>
          <a:off x="381000" y="247650"/>
          <a:ext cx="7048500" cy="6772275"/>
        </a:xfrm>
        <a:prstGeom prst="rect">
          <a:avLst/>
        </a:prstGeom>
        <a:noFill/>
        <a:ln w="9525">
          <a:solidFill>
            <a:srgbClr xmlns:mc="http://schemas.openxmlformats.org/markup-compatibility/2006" xmlns:a14="http://schemas.microsoft.com/office/drawing/2010/main" val="91918C" mc:Ignorable="a14" a14:legacySpreadsheetColorIndex="19"/>
          </a:solidFill>
          <a:miter lim="800000"/>
          <a:headEnd/>
          <a:tailEnd/>
        </a:ln>
        <a:effectLst>
          <a:prstShdw prst="shdw17" dist="17961" dir="2700000">
            <a:srgbClr val="575754">
              <a:alpha val="74998"/>
            </a:srgbClr>
          </a:prstShdw>
        </a:effectLst>
        <a:extLst>
          <a:ext uri="{909E8E84-426E-40dd-AFC4-6F175D3DCCD1}"/>
        </a:extLst>
      </xdr:spPr>
      <xdr:txBody>
        <a:bodyPr rtlCol="0"/>
        <a:lstStyle/>
        <a:p>
          <a:pPr algn="ctr"/>
          <a:endParaRPr lang="nl-NL"/>
        </a:p>
      </xdr:txBody>
    </xdr:sp>
    <xdr:clientData fPrintsWithSheet="0"/>
  </xdr:twoCellAnchor>
  <xdr:twoCellAnchor>
    <xdr:from>
      <xdr:col>2</xdr:col>
      <xdr:colOff>0</xdr:colOff>
      <xdr:row>1</xdr:row>
      <xdr:rowOff>217714</xdr:rowOff>
    </xdr:from>
    <xdr:to>
      <xdr:col>17</xdr:col>
      <xdr:colOff>364671</xdr:colOff>
      <xdr:row>3</xdr:row>
      <xdr:rowOff>48986</xdr:rowOff>
    </xdr:to>
    <xdr:grpSp>
      <xdr:nvGrpSpPr>
        <xdr:cNvPr id="6" name="Groep 5">
          <a:extLst>
            <a:ext uri="{FF2B5EF4-FFF2-40B4-BE49-F238E27FC236}">
              <a16:creationId xmlns:a16="http://schemas.microsoft.com/office/drawing/2014/main" id="{00000000-0008-0000-0000-000006000000}"/>
            </a:ext>
          </a:extLst>
        </xdr:cNvPr>
        <xdr:cNvGrpSpPr/>
      </xdr:nvGrpSpPr>
      <xdr:grpSpPr>
        <a:xfrm>
          <a:off x="762000" y="465364"/>
          <a:ext cx="6270171" cy="1221922"/>
          <a:chOff x="762000" y="466725"/>
          <a:chExt cx="6267450" cy="1219200"/>
        </a:xfrm>
      </xdr:grpSpPr>
      <xdr:sp macro="" textlink="">
        <xdr:nvSpPr>
          <xdr:cNvPr id="7" name="Tekstvak 6">
            <a:extLst>
              <a:ext uri="{FF2B5EF4-FFF2-40B4-BE49-F238E27FC236}">
                <a16:creationId xmlns:a16="http://schemas.microsoft.com/office/drawing/2014/main" id="{00000000-0008-0000-0000-000007000000}"/>
              </a:ext>
            </a:extLst>
          </xdr:cNvPr>
          <xdr:cNvSpPr txBox="1"/>
        </xdr:nvSpPr>
        <xdr:spPr>
          <a:xfrm>
            <a:off x="762000" y="466725"/>
            <a:ext cx="626745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4800">
                <a:solidFill>
                  <a:schemeClr val="tx1">
                    <a:lumMod val="50000"/>
                    <a:lumOff val="50000"/>
                  </a:schemeClr>
                </a:solidFill>
                <a:latin typeface="Calibri Light" panose="020F0302020204030204" pitchFamily="34" charset="0"/>
                <a:cs typeface="Calibri Light" panose="020F0302020204030204" pitchFamily="34" charset="0"/>
              </a:rPr>
              <a:t>REKENT     L</a:t>
            </a:r>
          </a:p>
        </xdr:txBody>
      </xdr:sp>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4276725"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sp macro="" textlink="">
        <xdr:nvSpPr>
          <xdr:cNvPr id="9" name="Tekstvak 8">
            <a:extLst>
              <a:ext uri="{FF2B5EF4-FFF2-40B4-BE49-F238E27FC236}">
                <a16:creationId xmlns:a16="http://schemas.microsoft.com/office/drawing/2014/main" id="{00000000-0008-0000-0000-000009000000}"/>
              </a:ext>
            </a:extLst>
          </xdr:cNvPr>
          <xdr:cNvSpPr txBox="1"/>
        </xdr:nvSpPr>
        <xdr:spPr>
          <a:xfrm>
            <a:off x="4572000" y="657224"/>
            <a:ext cx="51435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4800">
                <a:solidFill>
                  <a:srgbClr val="4A90E2"/>
                </a:solidFill>
                <a:latin typeface="Calibri Light" panose="020F0302020204030204" pitchFamily="34" charset="0"/>
                <a:cs typeface="Calibri Light" panose="020F0302020204030204" pitchFamily="34" charset="0"/>
              </a:rPr>
              <a:t>O</a:t>
            </a:r>
          </a:p>
        </xdr:txBody>
      </xdr:sp>
    </xdr:grpSp>
    <xdr:clientData/>
  </xdr:twoCellAnchor>
  <xdr:twoCellAnchor>
    <xdr:from>
      <xdr:col>15</xdr:col>
      <xdr:colOff>420191</xdr:colOff>
      <xdr:row>14</xdr:row>
      <xdr:rowOff>65128</xdr:rowOff>
    </xdr:from>
    <xdr:to>
      <xdr:col>16</xdr:col>
      <xdr:colOff>258912</xdr:colOff>
      <xdr:row>15</xdr:row>
      <xdr:rowOff>214456</xdr:rowOff>
    </xdr:to>
    <xdr:sp macro="" textlink="">
      <xdr:nvSpPr>
        <xdr:cNvPr id="10" name="Half kader 9">
          <a:hlinkClick xmlns:r="http://schemas.openxmlformats.org/officeDocument/2006/relationships" r:id="rId1"/>
          <a:extLst>
            <a:ext uri="{FF2B5EF4-FFF2-40B4-BE49-F238E27FC236}">
              <a16:creationId xmlns:a16="http://schemas.microsoft.com/office/drawing/2014/main" id="{00000000-0008-0000-0000-00000A000000}"/>
            </a:ext>
          </a:extLst>
        </xdr:cNvPr>
        <xdr:cNvSpPr/>
      </xdr:nvSpPr>
      <xdr:spPr bwMode="auto">
        <a:xfrm rot="8109060">
          <a:off x="6097091" y="4465678"/>
          <a:ext cx="257821" cy="387453"/>
        </a:xfrm>
        <a:prstGeom prst="halfFrame">
          <a:avLst/>
        </a:prstGeom>
        <a:solidFill>
          <a:schemeClr val="bg1"/>
        </a:solidFill>
        <a:ln w="9525" cap="flat" cmpd="sng" algn="ctr">
          <a:solidFill>
            <a:srgbClr val="4A90E2"/>
          </a:solidFill>
          <a:prstDash val="solid"/>
          <a:round/>
          <a:headEnd type="none" w="med" len="med"/>
          <a:tailEnd type="none" w="med" len="med"/>
        </a:ln>
        <a:effectLst/>
      </xdr:spPr>
      <xdr:txBody>
        <a:bodyPr vertOverflow="clip" wrap="square" lIns="18288" tIns="0" rIns="0" bIns="0" rtlCol="0" anchor="ctr" upright="1"/>
        <a:lstStyle/>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1885950</xdr:colOff>
          <xdr:row>6</xdr:row>
          <xdr:rowOff>219075</xdr:rowOff>
        </xdr:to>
        <xdr:sp macro="" textlink="">
          <xdr:nvSpPr>
            <xdr:cNvPr id="1256" name="Scroll Bar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1885950</xdr:colOff>
          <xdr:row>11</xdr:row>
          <xdr:rowOff>219075</xdr:rowOff>
        </xdr:to>
        <xdr:sp macro="" textlink="">
          <xdr:nvSpPr>
            <xdr:cNvPr id="1257" name="Scroll Bar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fLocksWithSheet="0"/>
      </xdr:twoCellAnchor>
    </mc:Choice>
    <mc:Fallback/>
  </mc:AlternateContent>
  <xdr:twoCellAnchor>
    <xdr:from>
      <xdr:col>4</xdr:col>
      <xdr:colOff>28575</xdr:colOff>
      <xdr:row>41</xdr:row>
      <xdr:rowOff>259461</xdr:rowOff>
    </xdr:from>
    <xdr:to>
      <xdr:col>4</xdr:col>
      <xdr:colOff>200025</xdr:colOff>
      <xdr:row>41</xdr:row>
      <xdr:rowOff>259461</xdr:rowOff>
    </xdr:to>
    <xdr:cxnSp macro="">
      <xdr:nvCxnSpPr>
        <xdr:cNvPr id="1263" name="Straight Arrow Connector 4">
          <a:extLst>
            <a:ext uri="{FF2B5EF4-FFF2-40B4-BE49-F238E27FC236}">
              <a16:creationId xmlns:a16="http://schemas.microsoft.com/office/drawing/2014/main" id="{00000000-0008-0000-0100-0000EF040000}"/>
            </a:ext>
          </a:extLst>
        </xdr:cNvPr>
        <xdr:cNvCxnSpPr>
          <a:cxnSpLocks noChangeShapeType="1"/>
        </xdr:cNvCxnSpPr>
      </xdr:nvCxnSpPr>
      <xdr:spPr bwMode="auto">
        <a:xfrm flipH="1">
          <a:off x="8002361" y="9954550"/>
          <a:ext cx="171450" cy="0"/>
        </a:xfrm>
        <a:prstGeom prst="straightConnector1">
          <a:avLst/>
        </a:prstGeom>
        <a:noFill/>
        <a:ln w="9525" algn="ctr">
          <a:solidFill>
            <a:srgbClr val="4A90E2"/>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82937</xdr:colOff>
      <xdr:row>44</xdr:row>
      <xdr:rowOff>88231</xdr:rowOff>
    </xdr:from>
    <xdr:to>
      <xdr:col>4</xdr:col>
      <xdr:colOff>195844</xdr:colOff>
      <xdr:row>44</xdr:row>
      <xdr:rowOff>88231</xdr:rowOff>
    </xdr:to>
    <xdr:cxnSp macro="">
      <xdr:nvCxnSpPr>
        <xdr:cNvPr id="1264" name="Straight Connector 10">
          <a:extLst>
            <a:ext uri="{FF2B5EF4-FFF2-40B4-BE49-F238E27FC236}">
              <a16:creationId xmlns:a16="http://schemas.microsoft.com/office/drawing/2014/main" id="{00000000-0008-0000-0100-0000F0040000}"/>
            </a:ext>
          </a:extLst>
        </xdr:cNvPr>
        <xdr:cNvCxnSpPr>
          <a:cxnSpLocks noChangeShapeType="1"/>
        </xdr:cNvCxnSpPr>
      </xdr:nvCxnSpPr>
      <xdr:spPr bwMode="auto">
        <a:xfrm>
          <a:off x="8054423" y="10890386"/>
          <a:ext cx="112907" cy="0"/>
        </a:xfrm>
        <a:prstGeom prst="line">
          <a:avLst/>
        </a:prstGeom>
        <a:noFill/>
        <a:ln w="9525" algn="ctr">
          <a:solidFill>
            <a:srgbClr val="4A90E2"/>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83775</xdr:colOff>
      <xdr:row>42</xdr:row>
      <xdr:rowOff>98275</xdr:rowOff>
    </xdr:from>
    <xdr:to>
      <xdr:col>4</xdr:col>
      <xdr:colOff>196682</xdr:colOff>
      <xdr:row>42</xdr:row>
      <xdr:rowOff>98275</xdr:rowOff>
    </xdr:to>
    <xdr:cxnSp macro="">
      <xdr:nvCxnSpPr>
        <xdr:cNvPr id="1265" name="Straight Connector 18">
          <a:extLst>
            <a:ext uri="{FF2B5EF4-FFF2-40B4-BE49-F238E27FC236}">
              <a16:creationId xmlns:a16="http://schemas.microsoft.com/office/drawing/2014/main" id="{00000000-0008-0000-0100-0000F1040000}"/>
            </a:ext>
          </a:extLst>
        </xdr:cNvPr>
        <xdr:cNvCxnSpPr>
          <a:cxnSpLocks noChangeShapeType="1"/>
        </xdr:cNvCxnSpPr>
      </xdr:nvCxnSpPr>
      <xdr:spPr bwMode="auto">
        <a:xfrm>
          <a:off x="6760800" y="8032600"/>
          <a:ext cx="112907" cy="0"/>
        </a:xfrm>
        <a:prstGeom prst="line">
          <a:avLst/>
        </a:prstGeom>
        <a:noFill/>
        <a:ln w="9525" algn="ctr">
          <a:solidFill>
            <a:srgbClr val="4A90E2"/>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193183</xdr:colOff>
      <xdr:row>41</xdr:row>
      <xdr:rowOff>255132</xdr:rowOff>
    </xdr:from>
    <xdr:to>
      <xdr:col>4</xdr:col>
      <xdr:colOff>200026</xdr:colOff>
      <xdr:row>44</xdr:row>
      <xdr:rowOff>93908</xdr:rowOff>
    </xdr:to>
    <xdr:cxnSp macro="">
      <xdr:nvCxnSpPr>
        <xdr:cNvPr id="1266" name="Straight Connector 14">
          <a:extLst>
            <a:ext uri="{FF2B5EF4-FFF2-40B4-BE49-F238E27FC236}">
              <a16:creationId xmlns:a16="http://schemas.microsoft.com/office/drawing/2014/main" id="{00000000-0008-0000-0100-0000F2040000}"/>
            </a:ext>
          </a:extLst>
        </xdr:cNvPr>
        <xdr:cNvCxnSpPr>
          <a:cxnSpLocks noChangeShapeType="1"/>
        </xdr:cNvCxnSpPr>
      </xdr:nvCxnSpPr>
      <xdr:spPr bwMode="auto">
        <a:xfrm flipH="1">
          <a:off x="8164669" y="10257724"/>
          <a:ext cx="6843" cy="638339"/>
        </a:xfrm>
        <a:prstGeom prst="line">
          <a:avLst/>
        </a:prstGeom>
        <a:noFill/>
        <a:ln w="9525" algn="ctr">
          <a:solidFill>
            <a:srgbClr val="4A90E2"/>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65</xdr:row>
      <xdr:rowOff>66674</xdr:rowOff>
    </xdr:from>
    <xdr:to>
      <xdr:col>5</xdr:col>
      <xdr:colOff>800101</xdr:colOff>
      <xdr:row>78</xdr:row>
      <xdr:rowOff>104774</xdr:rowOff>
    </xdr:to>
    <xdr:graphicFrame macro="">
      <xdr:nvGraphicFramePr>
        <xdr:cNvPr id="3" name="Grafiek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80780</xdr:colOff>
      <xdr:row>43</xdr:row>
      <xdr:rowOff>97616</xdr:rowOff>
    </xdr:from>
    <xdr:to>
      <xdr:col>4</xdr:col>
      <xdr:colOff>193687</xdr:colOff>
      <xdr:row>43</xdr:row>
      <xdr:rowOff>97616</xdr:rowOff>
    </xdr:to>
    <xdr:cxnSp macro="">
      <xdr:nvCxnSpPr>
        <xdr:cNvPr id="13" name="Straight Connector 10">
          <a:extLst>
            <a:ext uri="{FF2B5EF4-FFF2-40B4-BE49-F238E27FC236}">
              <a16:creationId xmlns:a16="http://schemas.microsoft.com/office/drawing/2014/main" id="{00000000-0008-0000-0100-00000D000000}"/>
            </a:ext>
          </a:extLst>
        </xdr:cNvPr>
        <xdr:cNvCxnSpPr>
          <a:cxnSpLocks noChangeShapeType="1"/>
        </xdr:cNvCxnSpPr>
      </xdr:nvCxnSpPr>
      <xdr:spPr bwMode="auto">
        <a:xfrm>
          <a:off x="8053025" y="10700918"/>
          <a:ext cx="112907" cy="0"/>
        </a:xfrm>
        <a:prstGeom prst="line">
          <a:avLst/>
        </a:prstGeom>
        <a:noFill/>
        <a:ln w="9525" algn="ctr">
          <a:solidFill>
            <a:srgbClr val="4A90E2"/>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D73D8-8D46-469C-B512-14465728727F}">
  <sheetPr>
    <pageSetUpPr autoPageBreaks="0"/>
  </sheetPr>
  <dimension ref="A1:Z47"/>
  <sheetViews>
    <sheetView showGridLines="0" showRowColHeaders="0" tabSelected="1" zoomScaleNormal="100" workbookViewId="0"/>
  </sheetViews>
  <sheetFormatPr defaultColWidth="0" defaultRowHeight="20.100000000000001" customHeight="1" zeroHeight="1"/>
  <cols>
    <col min="1" max="16" width="5.7109375" style="119" customWidth="1"/>
    <col min="17" max="17" width="8.5703125" style="119" customWidth="1"/>
    <col min="18" max="26" width="5.7109375" style="119" customWidth="1"/>
    <col min="27" max="16384" width="5.7109375" style="119" hidden="1"/>
  </cols>
  <sheetData>
    <row r="1" spans="1:26" ht="20.100000000000001" customHeigh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26" ht="20.100000000000001" customHeight="1" thickBot="1">
      <c r="A2" s="118"/>
      <c r="B2" s="120"/>
      <c r="C2" s="120"/>
      <c r="D2" s="120"/>
      <c r="E2" s="120"/>
      <c r="F2" s="120"/>
      <c r="G2" s="120"/>
      <c r="H2" s="120"/>
      <c r="I2" s="120"/>
      <c r="J2" s="120"/>
      <c r="K2" s="120"/>
      <c r="L2" s="120"/>
      <c r="M2" s="120"/>
      <c r="N2" s="120"/>
      <c r="O2" s="120"/>
      <c r="P2" s="120"/>
      <c r="Q2" s="120"/>
      <c r="R2" s="120"/>
      <c r="S2" s="120"/>
      <c r="T2" s="118"/>
      <c r="U2" s="118"/>
      <c r="V2" s="118"/>
      <c r="W2" s="118"/>
      <c r="X2" s="118"/>
      <c r="Y2" s="118"/>
      <c r="Z2" s="118"/>
    </row>
    <row r="3" spans="1:26" ht="90" customHeight="1">
      <c r="A3" s="118"/>
      <c r="B3" s="121"/>
      <c r="C3" s="172"/>
      <c r="D3" s="173"/>
      <c r="E3" s="173"/>
      <c r="F3" s="173"/>
      <c r="G3" s="173"/>
      <c r="H3" s="173"/>
      <c r="I3" s="173"/>
      <c r="J3" s="173"/>
      <c r="K3" s="173"/>
      <c r="L3" s="173"/>
      <c r="M3" s="173"/>
      <c r="N3" s="173"/>
      <c r="O3" s="173"/>
      <c r="P3" s="173"/>
      <c r="Q3" s="173"/>
      <c r="R3" s="174"/>
      <c r="S3" s="121"/>
      <c r="T3" s="118"/>
      <c r="U3" s="118"/>
      <c r="V3" s="118"/>
      <c r="W3" s="118"/>
      <c r="X3" s="118"/>
      <c r="Y3" s="118"/>
      <c r="Z3" s="118"/>
    </row>
    <row r="4" spans="1:26" ht="45" customHeight="1" thickBot="1">
      <c r="A4" s="118"/>
      <c r="B4" s="121"/>
      <c r="C4" s="175" t="s">
        <v>12</v>
      </c>
      <c r="D4" s="176"/>
      <c r="E4" s="176"/>
      <c r="F4" s="176"/>
      <c r="G4" s="176"/>
      <c r="H4" s="176"/>
      <c r="I4" s="176"/>
      <c r="J4" s="176"/>
      <c r="K4" s="176"/>
      <c r="L4" s="176"/>
      <c r="M4" s="176"/>
      <c r="N4" s="176"/>
      <c r="O4" s="176"/>
      <c r="P4" s="176"/>
      <c r="Q4" s="176"/>
      <c r="R4" s="177"/>
      <c r="S4" s="121"/>
      <c r="T4" s="118"/>
      <c r="U4" s="118"/>
      <c r="V4" s="118"/>
      <c r="W4" s="118"/>
      <c r="X4" s="118"/>
      <c r="Y4" s="118"/>
      <c r="Z4" s="118"/>
    </row>
    <row r="5" spans="1:26" ht="11.25" customHeight="1">
      <c r="A5" s="118"/>
      <c r="B5" s="121"/>
      <c r="C5" s="178" t="s">
        <v>78</v>
      </c>
      <c r="D5" s="178"/>
      <c r="E5" s="178"/>
      <c r="F5" s="178"/>
      <c r="G5" s="178"/>
      <c r="H5" s="178"/>
      <c r="I5" s="178"/>
      <c r="J5" s="178"/>
      <c r="K5" s="178"/>
      <c r="L5" s="178"/>
      <c r="M5" s="178"/>
      <c r="N5" s="178"/>
      <c r="O5" s="178"/>
      <c r="P5" s="178"/>
      <c r="Q5" s="178"/>
      <c r="R5" s="178"/>
      <c r="S5" s="121"/>
      <c r="T5" s="118"/>
      <c r="U5" s="118"/>
      <c r="V5" s="118"/>
      <c r="W5" s="118"/>
      <c r="X5" s="118"/>
      <c r="Y5" s="118"/>
      <c r="Z5" s="118"/>
    </row>
    <row r="6" spans="1:26" ht="11.25" customHeight="1">
      <c r="A6" s="118"/>
      <c r="B6" s="121"/>
      <c r="C6" s="121"/>
      <c r="D6" s="121"/>
      <c r="E6" s="121"/>
      <c r="F6" s="121"/>
      <c r="G6" s="121"/>
      <c r="H6" s="121"/>
      <c r="I6" s="121"/>
      <c r="J6" s="121"/>
      <c r="K6" s="121"/>
      <c r="L6" s="121"/>
      <c r="M6" s="121"/>
      <c r="N6" s="121"/>
      <c r="O6" s="121"/>
      <c r="P6" s="121"/>
      <c r="Q6" s="121"/>
      <c r="R6" s="121"/>
      <c r="S6" s="121"/>
      <c r="T6" s="118"/>
      <c r="U6" s="118"/>
      <c r="V6" s="118"/>
      <c r="W6" s="118"/>
      <c r="X6" s="118"/>
      <c r="Y6" s="118"/>
      <c r="Z6" s="118"/>
    </row>
    <row r="7" spans="1:26" ht="18.75" customHeight="1">
      <c r="A7" s="118"/>
      <c r="B7" s="121"/>
      <c r="C7" s="121"/>
      <c r="D7" s="121"/>
      <c r="E7" s="121"/>
      <c r="F7" s="121"/>
      <c r="G7" s="121"/>
      <c r="H7" s="121"/>
      <c r="I7" s="121"/>
      <c r="J7" s="121"/>
      <c r="K7" s="121"/>
      <c r="L7" s="121"/>
      <c r="M7" s="121"/>
      <c r="N7" s="121"/>
      <c r="O7" s="121"/>
      <c r="P7" s="121"/>
      <c r="Q7" s="121"/>
      <c r="R7" s="121"/>
      <c r="S7" s="121"/>
      <c r="T7" s="118"/>
      <c r="U7" s="118"/>
      <c r="V7" s="118"/>
      <c r="W7" s="118"/>
      <c r="X7" s="118"/>
      <c r="Y7" s="118"/>
      <c r="Z7" s="118"/>
    </row>
    <row r="8" spans="1:26" ht="18.75" customHeight="1">
      <c r="A8" s="118"/>
      <c r="B8" s="120"/>
      <c r="C8" s="122" t="str">
        <f>C4</f>
        <v>Giftenaftrek</v>
      </c>
      <c r="D8" s="123"/>
      <c r="E8" s="122"/>
      <c r="F8" s="122"/>
      <c r="G8" s="122"/>
      <c r="H8" s="124"/>
      <c r="I8" s="125"/>
      <c r="J8" s="125"/>
      <c r="K8" s="125"/>
      <c r="L8" s="125"/>
      <c r="M8" s="125"/>
      <c r="N8" s="125"/>
      <c r="O8" s="125"/>
      <c r="P8" s="125"/>
      <c r="Q8" s="125"/>
      <c r="R8" s="125"/>
      <c r="S8" s="120"/>
      <c r="T8" s="118"/>
      <c r="U8" s="118"/>
      <c r="V8" s="118"/>
      <c r="W8" s="118"/>
      <c r="X8" s="118"/>
      <c r="Y8" s="118"/>
      <c r="Z8" s="118"/>
    </row>
    <row r="9" spans="1:26" ht="18.75" customHeight="1">
      <c r="A9" s="118"/>
      <c r="B9" s="120"/>
      <c r="C9" s="121"/>
      <c r="D9" s="121"/>
      <c r="E9" s="121"/>
      <c r="F9" s="121"/>
      <c r="G9" s="121"/>
      <c r="H9" s="121"/>
      <c r="I9" s="121"/>
      <c r="J9" s="121"/>
      <c r="K9" s="121"/>
      <c r="L9" s="121"/>
      <c r="M9" s="121"/>
      <c r="N9" s="121"/>
      <c r="O9" s="121"/>
      <c r="P9" s="121"/>
      <c r="Q9" s="121"/>
      <c r="R9" s="121"/>
      <c r="S9" s="120"/>
      <c r="T9" s="118"/>
      <c r="U9" s="118"/>
      <c r="V9" s="118"/>
      <c r="W9" s="118"/>
      <c r="X9" s="118"/>
      <c r="Y9" s="118"/>
      <c r="Z9" s="118"/>
    </row>
    <row r="10" spans="1:26" ht="18.75" customHeight="1">
      <c r="A10" s="118"/>
      <c r="B10" s="120"/>
      <c r="C10" s="121"/>
      <c r="D10" s="121"/>
      <c r="E10" s="121"/>
      <c r="F10" s="121"/>
      <c r="G10" s="121"/>
      <c r="H10" s="121"/>
      <c r="I10" s="121"/>
      <c r="J10" s="121"/>
      <c r="K10" s="121"/>
      <c r="L10" s="121"/>
      <c r="M10" s="121"/>
      <c r="N10" s="121"/>
      <c r="O10" s="121"/>
      <c r="P10" s="121"/>
      <c r="Q10" s="121"/>
      <c r="R10" s="121"/>
      <c r="S10" s="120"/>
      <c r="T10" s="118"/>
      <c r="U10" s="118"/>
      <c r="V10" s="118"/>
      <c r="W10" s="118"/>
      <c r="X10" s="118"/>
      <c r="Y10" s="118"/>
      <c r="Z10" s="118"/>
    </row>
    <row r="11" spans="1:26" ht="18.75" customHeight="1">
      <c r="A11" s="118"/>
      <c r="B11" s="120"/>
      <c r="C11" s="121"/>
      <c r="D11" s="121"/>
      <c r="E11" s="121"/>
      <c r="F11" s="121"/>
      <c r="G11" s="121"/>
      <c r="H11" s="121"/>
      <c r="I11" s="121"/>
      <c r="J11" s="121"/>
      <c r="K11" s="121"/>
      <c r="L11" s="121"/>
      <c r="M11" s="121"/>
      <c r="N11" s="121"/>
      <c r="O11" s="121"/>
      <c r="P11" s="121"/>
      <c r="Q11" s="121"/>
      <c r="R11" s="121"/>
      <c r="S11" s="120"/>
      <c r="T11" s="118"/>
      <c r="U11" s="118"/>
      <c r="V11" s="118"/>
      <c r="W11" s="118"/>
      <c r="X11" s="118"/>
      <c r="Y11" s="118"/>
      <c r="Z11" s="118"/>
    </row>
    <row r="12" spans="1:26" ht="18.75" customHeight="1">
      <c r="A12" s="118"/>
      <c r="B12" s="120"/>
      <c r="C12" s="121"/>
      <c r="D12" s="121"/>
      <c r="E12" s="121"/>
      <c r="F12" s="121"/>
      <c r="G12" s="121"/>
      <c r="H12" s="121"/>
      <c r="I12" s="121"/>
      <c r="J12" s="121"/>
      <c r="K12" s="121"/>
      <c r="L12" s="121"/>
      <c r="M12" s="121"/>
      <c r="N12" s="121"/>
      <c r="O12" s="121"/>
      <c r="P12" s="121"/>
      <c r="Q12" s="121"/>
      <c r="R12" s="121"/>
      <c r="S12" s="120"/>
      <c r="T12" s="118"/>
      <c r="U12" s="118"/>
      <c r="V12" s="118"/>
      <c r="W12" s="118"/>
      <c r="X12" s="118"/>
      <c r="Y12" s="118"/>
      <c r="Z12" s="118"/>
    </row>
    <row r="13" spans="1:26" ht="18.75" customHeight="1">
      <c r="A13" s="118"/>
      <c r="B13" s="120"/>
      <c r="C13" s="121"/>
      <c r="D13" s="121"/>
      <c r="E13" s="121"/>
      <c r="F13" s="121"/>
      <c r="G13" s="121"/>
      <c r="H13" s="121"/>
      <c r="I13" s="121"/>
      <c r="J13" s="121"/>
      <c r="K13" s="121"/>
      <c r="L13" s="121"/>
      <c r="M13" s="121"/>
      <c r="N13" s="121"/>
      <c r="O13" s="121"/>
      <c r="P13" s="121"/>
      <c r="Q13" s="121"/>
      <c r="R13" s="121"/>
      <c r="S13" s="120"/>
      <c r="T13" s="118"/>
      <c r="U13" s="118"/>
      <c r="V13" s="118"/>
      <c r="W13" s="118"/>
      <c r="X13" s="118"/>
      <c r="Y13" s="118"/>
      <c r="Z13" s="118"/>
    </row>
    <row r="14" spans="1:26" ht="18.75" customHeight="1">
      <c r="A14" s="118"/>
      <c r="B14" s="120"/>
      <c r="C14" s="121"/>
      <c r="D14" s="121"/>
      <c r="E14" s="121"/>
      <c r="F14" s="121"/>
      <c r="G14" s="121"/>
      <c r="H14" s="121"/>
      <c r="I14" s="121"/>
      <c r="J14" s="121"/>
      <c r="K14" s="121"/>
      <c r="L14" s="121"/>
      <c r="M14" s="121"/>
      <c r="N14" s="121"/>
      <c r="O14" s="126"/>
      <c r="P14" s="126"/>
      <c r="Q14" s="121"/>
      <c r="R14" s="120"/>
      <c r="S14" s="120"/>
      <c r="T14" s="118"/>
      <c r="U14" s="118"/>
      <c r="V14" s="118"/>
      <c r="W14" s="118"/>
      <c r="X14" s="118"/>
      <c r="Y14" s="118"/>
      <c r="Z14" s="118"/>
    </row>
    <row r="15" spans="1:26" ht="18.75" customHeight="1">
      <c r="A15" s="118"/>
      <c r="B15" s="120"/>
      <c r="C15" s="121"/>
      <c r="D15" s="121"/>
      <c r="E15" s="121"/>
      <c r="F15" s="121"/>
      <c r="G15" s="121"/>
      <c r="H15" s="121"/>
      <c r="I15" s="121"/>
      <c r="J15" s="121"/>
      <c r="K15" s="121"/>
      <c r="L15" s="121"/>
      <c r="M15" s="121"/>
      <c r="N15" s="121"/>
      <c r="O15" s="126"/>
      <c r="P15" s="126"/>
      <c r="Q15" s="121"/>
      <c r="R15" s="120"/>
      <c r="S15" s="120"/>
      <c r="T15" s="118"/>
      <c r="U15" s="118"/>
      <c r="V15" s="118"/>
      <c r="W15" s="118"/>
      <c r="X15" s="118"/>
      <c r="Y15" s="118"/>
      <c r="Z15" s="118"/>
    </row>
    <row r="16" spans="1:26" ht="18.75" customHeight="1">
      <c r="A16" s="118"/>
      <c r="B16" s="120"/>
      <c r="C16" s="121"/>
      <c r="D16" s="121"/>
      <c r="E16" s="121"/>
      <c r="F16" s="121"/>
      <c r="G16" s="121"/>
      <c r="H16" s="121"/>
      <c r="I16" s="121"/>
      <c r="J16" s="121"/>
      <c r="K16" s="121"/>
      <c r="L16" s="121"/>
      <c r="M16" s="121"/>
      <c r="N16" s="121"/>
      <c r="O16" s="126"/>
      <c r="P16" s="126"/>
      <c r="Q16" s="121"/>
      <c r="R16" s="120"/>
      <c r="S16" s="120"/>
      <c r="T16" s="118"/>
      <c r="U16" s="118"/>
      <c r="V16" s="118"/>
      <c r="W16" s="118"/>
      <c r="X16" s="118"/>
      <c r="Y16" s="118"/>
      <c r="Z16" s="118"/>
    </row>
    <row r="17" spans="1:26" ht="18.75" customHeight="1">
      <c r="A17" s="118"/>
      <c r="B17" s="120"/>
      <c r="C17" s="121"/>
      <c r="D17" s="121"/>
      <c r="E17" s="121"/>
      <c r="F17" s="121"/>
      <c r="G17" s="121"/>
      <c r="H17" s="121"/>
      <c r="I17" s="121"/>
      <c r="J17" s="121"/>
      <c r="K17" s="121"/>
      <c r="L17" s="121"/>
      <c r="M17" s="121"/>
      <c r="N17" s="121"/>
      <c r="O17" s="121"/>
      <c r="P17" s="121"/>
      <c r="Q17" s="121"/>
      <c r="R17" s="120"/>
      <c r="S17" s="120"/>
      <c r="T17" s="118"/>
      <c r="U17" s="118"/>
      <c r="V17" s="118"/>
      <c r="W17" s="118"/>
      <c r="X17" s="118"/>
      <c r="Y17" s="118"/>
      <c r="Z17" s="118"/>
    </row>
    <row r="18" spans="1:26" ht="18.75" customHeight="1">
      <c r="A18" s="118"/>
      <c r="B18" s="120"/>
      <c r="C18" s="121"/>
      <c r="D18" s="121"/>
      <c r="E18" s="121"/>
      <c r="F18" s="121"/>
      <c r="G18" s="121"/>
      <c r="H18" s="121"/>
      <c r="I18" s="121"/>
      <c r="J18" s="121"/>
      <c r="K18" s="121"/>
      <c r="L18" s="121"/>
      <c r="M18" s="121"/>
      <c r="N18" s="121"/>
      <c r="O18" s="121"/>
      <c r="P18" s="121"/>
      <c r="Q18" s="121"/>
      <c r="R18" s="121"/>
      <c r="S18" s="120"/>
      <c r="T18" s="118"/>
      <c r="U18" s="118"/>
      <c r="V18" s="118"/>
      <c r="W18" s="118"/>
      <c r="X18" s="118"/>
      <c r="Y18" s="118"/>
      <c r="Z18" s="118"/>
    </row>
    <row r="19" spans="1:26" ht="18.75" customHeight="1">
      <c r="A19" s="118"/>
      <c r="B19" s="120"/>
      <c r="C19" s="121"/>
      <c r="D19" s="121"/>
      <c r="E19" s="121"/>
      <c r="F19" s="121"/>
      <c r="G19" s="121"/>
      <c r="H19" s="121"/>
      <c r="I19" s="121"/>
      <c r="J19" s="121"/>
      <c r="K19" s="121"/>
      <c r="L19" s="121"/>
      <c r="M19" s="121"/>
      <c r="N19" s="121"/>
      <c r="O19" s="121"/>
      <c r="P19" s="121"/>
      <c r="Q19" s="121"/>
      <c r="R19" s="121"/>
      <c r="S19" s="120"/>
      <c r="T19" s="118"/>
      <c r="U19" s="118"/>
      <c r="V19" s="118"/>
      <c r="W19" s="118"/>
      <c r="X19" s="118"/>
      <c r="Y19" s="118"/>
      <c r="Z19" s="118"/>
    </row>
    <row r="20" spans="1:26" ht="18.75" customHeight="1">
      <c r="A20" s="118"/>
      <c r="B20" s="120"/>
      <c r="C20" s="127" t="s">
        <v>79</v>
      </c>
      <c r="D20" s="128"/>
      <c r="E20" s="129"/>
      <c r="F20" s="129"/>
      <c r="G20" s="129"/>
      <c r="H20" s="130"/>
      <c r="I20" s="121"/>
      <c r="J20" s="121"/>
      <c r="K20" s="121"/>
      <c r="L20" s="121"/>
      <c r="M20" s="121"/>
      <c r="N20" s="121"/>
      <c r="O20" s="121"/>
      <c r="P20" s="121"/>
      <c r="Q20" s="121"/>
      <c r="R20" s="121"/>
      <c r="S20" s="120"/>
      <c r="T20" s="118"/>
      <c r="U20" s="118"/>
      <c r="V20" s="118"/>
      <c r="W20" s="118"/>
      <c r="X20" s="118"/>
      <c r="Y20" s="118"/>
      <c r="Z20" s="118"/>
    </row>
    <row r="21" spans="1:26" ht="18.75" customHeight="1">
      <c r="A21" s="118"/>
      <c r="B21" s="120"/>
      <c r="C21" s="130"/>
      <c r="D21" s="131"/>
      <c r="E21" s="130"/>
      <c r="F21" s="130"/>
      <c r="G21" s="130"/>
      <c r="H21" s="130"/>
      <c r="I21" s="121"/>
      <c r="J21" s="121"/>
      <c r="K21" s="121"/>
      <c r="L21" s="121"/>
      <c r="M21" s="121"/>
      <c r="N21" s="121"/>
      <c r="O21" s="121"/>
      <c r="P21" s="121"/>
      <c r="Q21" s="121"/>
      <c r="R21" s="121"/>
      <c r="S21" s="120"/>
      <c r="T21" s="118"/>
      <c r="U21" s="118"/>
      <c r="V21" s="118"/>
      <c r="W21" s="118"/>
      <c r="X21" s="118"/>
      <c r="Y21" s="118"/>
      <c r="Z21" s="118"/>
    </row>
    <row r="22" spans="1:26" ht="18.75" customHeight="1">
      <c r="A22" s="118"/>
      <c r="B22" s="120"/>
      <c r="C22" s="179">
        <v>44609</v>
      </c>
      <c r="D22" s="179"/>
      <c r="E22" s="179"/>
      <c r="F22" s="179"/>
      <c r="G22" s="180" t="s">
        <v>83</v>
      </c>
      <c r="H22" s="180"/>
      <c r="I22" s="180"/>
      <c r="J22" s="180"/>
      <c r="K22" s="180"/>
      <c r="L22" s="180"/>
      <c r="M22" s="180"/>
      <c r="N22" s="180"/>
      <c r="O22" s="180"/>
      <c r="P22" s="180"/>
      <c r="Q22" s="180"/>
      <c r="R22" s="180"/>
      <c r="S22" s="120"/>
      <c r="T22" s="118"/>
      <c r="U22" s="118"/>
      <c r="V22" s="118"/>
      <c r="W22" s="118"/>
      <c r="X22" s="118"/>
      <c r="Y22" s="118"/>
      <c r="Z22" s="118"/>
    </row>
    <row r="23" spans="1:26" ht="18.75" customHeight="1">
      <c r="A23" s="118"/>
      <c r="B23" s="120"/>
      <c r="C23" s="179">
        <v>44582</v>
      </c>
      <c r="D23" s="179"/>
      <c r="E23" s="179"/>
      <c r="F23" s="179"/>
      <c r="G23" s="180" t="s">
        <v>80</v>
      </c>
      <c r="H23" s="180"/>
      <c r="I23" s="180"/>
      <c r="J23" s="180"/>
      <c r="K23" s="180"/>
      <c r="L23" s="180"/>
      <c r="M23" s="180"/>
      <c r="N23" s="180"/>
      <c r="O23" s="180"/>
      <c r="P23" s="180"/>
      <c r="Q23" s="180"/>
      <c r="R23" s="180"/>
      <c r="S23" s="120"/>
      <c r="T23" s="118"/>
      <c r="U23" s="118"/>
      <c r="V23" s="118"/>
      <c r="W23" s="118"/>
      <c r="X23" s="118"/>
      <c r="Y23" s="118"/>
      <c r="Z23" s="118"/>
    </row>
    <row r="24" spans="1:26" ht="18.75" customHeight="1">
      <c r="A24" s="118"/>
      <c r="B24" s="120"/>
      <c r="C24" s="171"/>
      <c r="D24" s="171"/>
      <c r="E24" s="171"/>
      <c r="F24" s="171"/>
      <c r="G24" s="121"/>
      <c r="H24" s="121"/>
      <c r="I24" s="121"/>
      <c r="J24" s="121"/>
      <c r="K24" s="121"/>
      <c r="L24" s="121"/>
      <c r="M24" s="121"/>
      <c r="N24" s="121"/>
      <c r="O24" s="121"/>
      <c r="P24" s="121"/>
      <c r="Q24" s="121"/>
      <c r="R24" s="121"/>
      <c r="S24" s="120"/>
      <c r="T24" s="118"/>
      <c r="U24" s="118"/>
      <c r="V24" s="118"/>
      <c r="W24" s="118"/>
      <c r="X24" s="118"/>
      <c r="Y24" s="118"/>
      <c r="Z24" s="118"/>
    </row>
    <row r="25" spans="1:26" ht="18.75" customHeight="1">
      <c r="A25" s="118"/>
      <c r="B25" s="120"/>
      <c r="C25" s="121"/>
      <c r="D25" s="120"/>
      <c r="E25" s="120"/>
      <c r="F25" s="120"/>
      <c r="G25" s="120"/>
      <c r="H25" s="120"/>
      <c r="I25" s="120"/>
      <c r="J25" s="120"/>
      <c r="K25" s="120"/>
      <c r="L25" s="120"/>
      <c r="M25" s="120"/>
      <c r="N25" s="120"/>
      <c r="O25" s="120"/>
      <c r="P25" s="120"/>
      <c r="Q25" s="132"/>
      <c r="R25" s="132"/>
      <c r="S25" s="120"/>
      <c r="T25" s="118"/>
      <c r="U25" s="118"/>
      <c r="V25" s="118"/>
      <c r="W25" s="118"/>
      <c r="X25" s="118"/>
      <c r="Y25" s="118"/>
      <c r="Z25" s="118"/>
    </row>
    <row r="26" spans="1:26" ht="20.100000000000001" customHeight="1">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1:26" ht="20.100000000000001" customHeight="1">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row>
    <row r="28" spans="1:26" ht="20.100000000000001" customHeight="1">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1:26" ht="20.100000000000001" customHeight="1">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20.100000000000001"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20.100000000000001"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20.100000000000001" customHeight="1">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20.100000000000001" customHeight="1">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20.100000000000001" customHeigh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20.100000000000001"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20.100000000000001"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20.100000000000001" customHeigh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20.100000000000001"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20.100000000000001"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20.100000000000001" customHeigh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20.100000000000001" customHeigh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20.100000000000001" customHeight="1">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20.100000000000001" customHeight="1">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20.100000000000001" customHeigh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20.100000000000001" customHeight="1">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9.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1:26" ht="19.5" hidden="1" customHeight="1"/>
  </sheetData>
  <sheetProtection sheet="1" objects="1" scenarios="1"/>
  <mergeCells count="8">
    <mergeCell ref="C24:F24"/>
    <mergeCell ref="C3:R3"/>
    <mergeCell ref="C4:R4"/>
    <mergeCell ref="C5:R5"/>
    <mergeCell ref="C22:F22"/>
    <mergeCell ref="G22:R22"/>
    <mergeCell ref="C23:F23"/>
    <mergeCell ref="G23:R23"/>
  </mergeCells>
  <hyperlinks>
    <hyperlink ref="C8:R8" location="'1'!A1" display="'1'!A1" xr:uid="{5D60E7A4-49D0-4EB8-9EA7-9ABDDD18254D}"/>
  </hyperlinks>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J85"/>
  <sheetViews>
    <sheetView showGridLines="0" showRowColHeaders="0" zoomScaleNormal="100" workbookViewId="0">
      <selection activeCell="B63" sqref="B63"/>
    </sheetView>
  </sheetViews>
  <sheetFormatPr defaultColWidth="9.140625" defaultRowHeight="15.95" customHeight="1"/>
  <cols>
    <col min="1" max="1" width="5.7109375" style="1" customWidth="1"/>
    <col min="2" max="2" width="71.42578125" style="1" customWidth="1"/>
    <col min="3" max="3" width="21.7109375" style="20" customWidth="1"/>
    <col min="4" max="4" width="28.5703125" style="18" customWidth="1"/>
    <col min="5" max="5" width="21.7109375" style="11" customWidth="1"/>
    <col min="6" max="6" width="57.140625" style="109" customWidth="1"/>
    <col min="7" max="7" width="5.7109375" style="109" customWidth="1"/>
    <col min="8" max="8" width="5.7109375" style="1" customWidth="1"/>
    <col min="9" max="9" width="6.28515625" style="1" customWidth="1"/>
    <col min="10" max="10" width="5.7109375" style="1" customWidth="1"/>
    <col min="11" max="16384" width="9.140625" style="1"/>
  </cols>
  <sheetData>
    <row r="1" spans="1:10" ht="15.95" customHeight="1">
      <c r="A1" s="4"/>
      <c r="B1" s="4"/>
      <c r="C1" s="15"/>
      <c r="D1" s="16"/>
      <c r="E1" s="10"/>
      <c r="F1" s="108"/>
      <c r="G1" s="165"/>
      <c r="H1" s="165"/>
      <c r="I1" s="109"/>
    </row>
    <row r="2" spans="1:10" ht="75" customHeight="1">
      <c r="A2" s="4"/>
      <c r="B2" s="181" t="s">
        <v>12</v>
      </c>
      <c r="C2" s="181"/>
      <c r="D2" s="181"/>
      <c r="E2" s="168">
        <v>2022</v>
      </c>
      <c r="F2" s="108"/>
      <c r="G2" s="110"/>
      <c r="H2" s="111"/>
      <c r="I2" s="109"/>
    </row>
    <row r="3" spans="1:10" ht="15.95" customHeight="1">
      <c r="A3" s="4"/>
      <c r="B3" s="4"/>
      <c r="C3" s="15"/>
      <c r="D3" s="16"/>
      <c r="E3" s="167" t="s">
        <v>51</v>
      </c>
      <c r="F3" s="108"/>
      <c r="G3" s="112"/>
      <c r="H3" s="112"/>
      <c r="I3" s="109"/>
      <c r="J3" s="2"/>
    </row>
    <row r="4" spans="1:10" ht="15.95" customHeight="1">
      <c r="A4" s="4"/>
      <c r="B4" s="4"/>
      <c r="C4" s="15"/>
      <c r="D4" s="16"/>
      <c r="E4" s="94"/>
      <c r="F4" s="108"/>
      <c r="G4" s="112"/>
      <c r="H4" s="112"/>
      <c r="I4" s="109"/>
      <c r="J4" s="2"/>
    </row>
    <row r="5" spans="1:10" ht="18.75">
      <c r="A5" s="4"/>
      <c r="B5" s="156" t="s">
        <v>70</v>
      </c>
      <c r="C5" s="15"/>
      <c r="D5" s="23"/>
      <c r="E5" s="107"/>
      <c r="F5" s="108"/>
      <c r="G5" s="113"/>
      <c r="H5" s="114"/>
      <c r="I5" s="109"/>
      <c r="J5" s="3"/>
    </row>
    <row r="6" spans="1:10" ht="18.75">
      <c r="A6" s="4"/>
      <c r="B6" s="95" t="s">
        <v>52</v>
      </c>
      <c r="C6" s="97">
        <f>1-E6</f>
        <v>0.5</v>
      </c>
      <c r="D6" s="158">
        <v>0</v>
      </c>
      <c r="E6" s="98">
        <f>F6/100</f>
        <v>0.5</v>
      </c>
      <c r="F6" s="161">
        <v>50</v>
      </c>
      <c r="G6" s="108"/>
      <c r="H6" s="4"/>
      <c r="J6" s="2"/>
    </row>
    <row r="7" spans="1:10" ht="18.75">
      <c r="A7" s="4"/>
      <c r="B7" s="94" t="s">
        <v>2</v>
      </c>
      <c r="C7" s="158">
        <f>C6*D6</f>
        <v>0</v>
      </c>
      <c r="D7" s="26"/>
      <c r="E7" s="158">
        <f>D6-C7</f>
        <v>0</v>
      </c>
      <c r="F7" s="162" t="s">
        <v>3</v>
      </c>
      <c r="G7" s="108"/>
      <c r="H7" s="4"/>
      <c r="J7" s="2"/>
    </row>
    <row r="8" spans="1:10" ht="18.75">
      <c r="A8" s="4"/>
      <c r="B8" s="94" t="s">
        <v>5</v>
      </c>
      <c r="C8" s="158">
        <v>0</v>
      </c>
      <c r="D8" s="26"/>
      <c r="E8" s="158">
        <v>0</v>
      </c>
      <c r="F8" s="162" t="s">
        <v>8</v>
      </c>
      <c r="G8" s="108"/>
      <c r="H8" s="4"/>
      <c r="J8" s="2"/>
    </row>
    <row r="9" spans="1:10" ht="18.75">
      <c r="A9" s="4"/>
      <c r="B9" s="94" t="s">
        <v>6</v>
      </c>
      <c r="C9" s="158">
        <f>C7-C8</f>
        <v>0</v>
      </c>
      <c r="D9" s="26"/>
      <c r="E9" s="158">
        <f>E7-E8</f>
        <v>0</v>
      </c>
      <c r="F9" s="162" t="s">
        <v>7</v>
      </c>
      <c r="G9" s="108"/>
      <c r="H9" s="4"/>
      <c r="J9" s="2"/>
    </row>
    <row r="10" spans="1:10" ht="18.75">
      <c r="A10" s="4"/>
      <c r="B10" s="94"/>
      <c r="C10" s="6"/>
      <c r="D10" s="17"/>
      <c r="E10" s="24"/>
      <c r="F10" s="162"/>
      <c r="G10" s="108"/>
      <c r="H10" s="4"/>
      <c r="J10" s="2"/>
    </row>
    <row r="11" spans="1:10" ht="18.75">
      <c r="A11" s="4"/>
      <c r="B11" s="95" t="s">
        <v>53</v>
      </c>
      <c r="C11" s="97">
        <f>1-E11</f>
        <v>0.5</v>
      </c>
      <c r="D11" s="158">
        <v>0</v>
      </c>
      <c r="E11" s="98">
        <f>F11/100</f>
        <v>0.5</v>
      </c>
      <c r="F11" s="163">
        <v>50</v>
      </c>
      <c r="G11" s="108"/>
      <c r="H11" s="4"/>
    </row>
    <row r="12" spans="1:10" ht="18.75">
      <c r="A12" s="4"/>
      <c r="B12" s="94" t="s">
        <v>2</v>
      </c>
      <c r="C12" s="158">
        <f>C11*D11</f>
        <v>0</v>
      </c>
      <c r="D12" s="26"/>
      <c r="E12" s="158">
        <f>D11-C12</f>
        <v>0</v>
      </c>
      <c r="F12" s="162" t="s">
        <v>3</v>
      </c>
      <c r="G12" s="108"/>
      <c r="H12" s="4"/>
      <c r="J12" s="2"/>
    </row>
    <row r="13" spans="1:10" ht="18.75">
      <c r="A13" s="4"/>
      <c r="B13" s="94" t="s">
        <v>5</v>
      </c>
      <c r="C13" s="158">
        <v>0</v>
      </c>
      <c r="D13" s="25"/>
      <c r="E13" s="158">
        <v>0</v>
      </c>
      <c r="F13" s="162" t="s">
        <v>8</v>
      </c>
      <c r="G13" s="108"/>
      <c r="H13" s="4"/>
      <c r="J13" s="2"/>
    </row>
    <row r="14" spans="1:10" ht="18.75">
      <c r="A14" s="4"/>
      <c r="B14" s="94" t="s">
        <v>6</v>
      </c>
      <c r="C14" s="158">
        <f>C12-C13</f>
        <v>0</v>
      </c>
      <c r="D14" s="25"/>
      <c r="E14" s="158">
        <f>E12-E13</f>
        <v>0</v>
      </c>
      <c r="F14" s="162" t="s">
        <v>7</v>
      </c>
      <c r="G14" s="108"/>
      <c r="H14" s="4"/>
      <c r="J14" s="2"/>
    </row>
    <row r="15" spans="1:10" ht="11.25">
      <c r="A15" s="4"/>
      <c r="B15" s="5"/>
      <c r="C15" s="15"/>
      <c r="D15" s="16"/>
      <c r="E15" s="12"/>
      <c r="F15" s="108"/>
      <c r="G15" s="108"/>
      <c r="H15" s="4"/>
      <c r="J15" s="2"/>
    </row>
    <row r="16" spans="1:10" ht="11.25">
      <c r="A16" s="4"/>
      <c r="B16" s="5"/>
      <c r="C16" s="15"/>
      <c r="D16" s="16"/>
      <c r="E16" s="12"/>
      <c r="F16" s="108"/>
      <c r="G16" s="108"/>
      <c r="H16" s="4"/>
      <c r="J16" s="2"/>
    </row>
    <row r="17" spans="1:10" ht="18.75">
      <c r="A17" s="4"/>
      <c r="B17" s="156" t="s">
        <v>71</v>
      </c>
      <c r="C17" s="15"/>
      <c r="D17" s="16"/>
      <c r="E17" s="10"/>
      <c r="F17" s="108"/>
      <c r="G17" s="113"/>
      <c r="H17" s="114"/>
      <c r="J17" s="3"/>
    </row>
    <row r="18" spans="1:10" ht="18.75">
      <c r="A18" s="4"/>
      <c r="B18" s="94" t="s">
        <v>54</v>
      </c>
      <c r="C18" s="15"/>
      <c r="D18" s="158">
        <v>0</v>
      </c>
      <c r="E18" s="10"/>
      <c r="F18" s="108"/>
      <c r="G18" s="108"/>
      <c r="H18" s="4"/>
      <c r="J18" s="2"/>
    </row>
    <row r="19" spans="1:10" ht="18.75">
      <c r="A19" s="4"/>
      <c r="B19" s="94" t="s">
        <v>55</v>
      </c>
      <c r="C19" s="15"/>
      <c r="D19" s="158">
        <v>0</v>
      </c>
      <c r="E19" s="10"/>
      <c r="F19" s="108"/>
      <c r="G19" s="108"/>
      <c r="H19" s="4"/>
      <c r="J19" s="2"/>
    </row>
    <row r="20" spans="1:10" ht="18.75">
      <c r="A20" s="4"/>
      <c r="B20" s="94" t="s">
        <v>56</v>
      </c>
      <c r="C20" s="15"/>
      <c r="D20" s="158">
        <v>0</v>
      </c>
      <c r="E20" s="10"/>
      <c r="F20" s="108"/>
      <c r="G20" s="108"/>
      <c r="H20" s="4"/>
    </row>
    <row r="21" spans="1:10" ht="11.25">
      <c r="A21" s="4"/>
      <c r="B21" s="5"/>
      <c r="C21" s="15"/>
      <c r="D21" s="16"/>
      <c r="E21" s="13"/>
      <c r="F21" s="108"/>
      <c r="G21" s="108"/>
      <c r="H21" s="4"/>
    </row>
    <row r="22" spans="1:10" ht="11.25">
      <c r="A22" s="4"/>
      <c r="B22" s="5"/>
      <c r="C22" s="15"/>
      <c r="D22" s="16"/>
      <c r="E22" s="13"/>
      <c r="F22" s="108"/>
      <c r="G22" s="108"/>
      <c r="H22" s="4"/>
    </row>
    <row r="23" spans="1:10" ht="37.5" customHeight="1">
      <c r="A23" s="7"/>
      <c r="B23" s="184" t="s">
        <v>4</v>
      </c>
      <c r="C23" s="99"/>
      <c r="D23" s="153">
        <f ca="1">D42+D61</f>
        <v>0</v>
      </c>
      <c r="E23" s="10"/>
      <c r="F23" s="159"/>
      <c r="G23" s="108"/>
      <c r="H23" s="4"/>
    </row>
    <row r="24" spans="1:10" ht="11.25">
      <c r="A24" s="4"/>
      <c r="B24" s="4"/>
      <c r="C24" s="15"/>
      <c r="D24" s="15"/>
      <c r="E24" s="10"/>
      <c r="F24" s="108"/>
      <c r="G24" s="108"/>
      <c r="H24" s="4"/>
    </row>
    <row r="25" spans="1:10" s="8" customFormat="1" ht="18.75">
      <c r="A25" s="7"/>
      <c r="B25" s="156" t="s">
        <v>1</v>
      </c>
      <c r="C25" s="19"/>
      <c r="D25" s="19"/>
      <c r="E25" s="14"/>
      <c r="F25" s="159"/>
      <c r="G25" s="115"/>
      <c r="H25" s="115"/>
      <c r="J25" s="9"/>
    </row>
    <row r="26" spans="1:10" s="8" customFormat="1" ht="23.25">
      <c r="A26" s="7"/>
      <c r="B26" s="96"/>
      <c r="C26" s="19"/>
      <c r="D26" s="19"/>
      <c r="E26" s="14"/>
      <c r="F26" s="159"/>
      <c r="G26" s="115"/>
      <c r="H26" s="115"/>
      <c r="J26" s="9"/>
    </row>
    <row r="27" spans="1:10" s="8" customFormat="1" ht="18.75">
      <c r="A27" s="4"/>
      <c r="B27" s="104" t="s">
        <v>73</v>
      </c>
      <c r="C27" s="19"/>
      <c r="D27" s="19"/>
      <c r="E27" s="14"/>
      <c r="F27" s="159"/>
      <c r="G27" s="115"/>
      <c r="H27" s="115"/>
      <c r="J27" s="9"/>
    </row>
    <row r="28" spans="1:10" ht="18.75">
      <c r="A28" s="4"/>
      <c r="B28" s="94" t="s">
        <v>11</v>
      </c>
      <c r="C28" s="15"/>
      <c r="D28" s="101">
        <f>MIN(C7+C12,C8+C13)</f>
        <v>0</v>
      </c>
      <c r="E28" s="13"/>
      <c r="F28" s="160"/>
      <c r="G28" s="108"/>
      <c r="H28" s="4"/>
    </row>
    <row r="29" spans="1:10" ht="18.75">
      <c r="A29" s="4"/>
      <c r="B29" s="94" t="s">
        <v>57</v>
      </c>
      <c r="C29" s="15"/>
      <c r="D29" s="102">
        <f>MIN(D28,IF(C13&gt;5000,1250,C13*0.25))</f>
        <v>0</v>
      </c>
      <c r="E29" s="10"/>
      <c r="F29" s="24"/>
      <c r="G29" s="108"/>
      <c r="H29" s="4"/>
    </row>
    <row r="30" spans="1:10" ht="18.75">
      <c r="A30" s="4"/>
      <c r="B30" s="94" t="s">
        <v>58</v>
      </c>
      <c r="C30" s="15"/>
      <c r="D30" s="102">
        <f>D28+D29</f>
        <v>0</v>
      </c>
      <c r="E30" s="10"/>
      <c r="F30" s="24"/>
      <c r="G30" s="108"/>
      <c r="H30" s="4"/>
    </row>
    <row r="31" spans="1:10" ht="18.75">
      <c r="A31" s="4"/>
      <c r="B31" s="94"/>
      <c r="C31" s="15"/>
      <c r="D31" s="169"/>
      <c r="E31" s="10"/>
      <c r="F31" s="24"/>
      <c r="G31" s="108"/>
      <c r="H31" s="4"/>
    </row>
    <row r="32" spans="1:10" ht="18.75">
      <c r="A32" s="4"/>
      <c r="B32" s="104" t="s">
        <v>74</v>
      </c>
      <c r="C32" s="15"/>
      <c r="D32" s="22"/>
      <c r="E32" s="13"/>
      <c r="F32" s="160"/>
      <c r="G32" s="108"/>
      <c r="H32" s="4"/>
    </row>
    <row r="33" spans="1:10" ht="18.75">
      <c r="A33" s="4"/>
      <c r="B33" s="94" t="s">
        <v>9</v>
      </c>
      <c r="C33" s="15"/>
      <c r="D33" s="101">
        <f>MAX(0,C9+C14)</f>
        <v>0</v>
      </c>
      <c r="E33" s="13"/>
      <c r="F33" s="160"/>
      <c r="G33" s="108"/>
      <c r="H33" s="4"/>
    </row>
    <row r="34" spans="1:10" ht="18.75">
      <c r="A34" s="4"/>
      <c r="B34" s="94" t="s">
        <v>57</v>
      </c>
      <c r="C34" s="15"/>
      <c r="D34" s="102">
        <f>MAX(0,MIN(IF(5000-C13&gt;0,C14*0.25,0),1250-D29))</f>
        <v>0</v>
      </c>
      <c r="E34" s="13"/>
      <c r="F34" s="160"/>
      <c r="G34" s="108"/>
      <c r="H34" s="4"/>
    </row>
    <row r="35" spans="1:10" ht="18.75">
      <c r="A35" s="4"/>
      <c r="B35" s="94" t="s">
        <v>10</v>
      </c>
      <c r="C35" s="15"/>
      <c r="D35" s="102">
        <f>D33+D34</f>
        <v>0</v>
      </c>
      <c r="E35" s="13"/>
      <c r="F35" s="160"/>
      <c r="G35" s="108"/>
      <c r="H35" s="4"/>
    </row>
    <row r="36" spans="1:10" ht="18.75">
      <c r="A36" s="4"/>
      <c r="B36" s="94" t="s">
        <v>59</v>
      </c>
      <c r="C36" s="15"/>
      <c r="D36" s="102">
        <f>IF(0.01*D18&gt;60,0.01*D18,60)</f>
        <v>60</v>
      </c>
      <c r="E36" s="10"/>
      <c r="F36" s="108"/>
      <c r="G36" s="108"/>
      <c r="H36" s="4"/>
    </row>
    <row r="37" spans="1:10" ht="18.75">
      <c r="A37" s="4"/>
      <c r="B37" s="94" t="s">
        <v>60</v>
      </c>
      <c r="C37" s="15"/>
      <c r="D37" s="102">
        <f>(0.1*D18)+D34</f>
        <v>0</v>
      </c>
      <c r="E37" s="10"/>
      <c r="F37" s="108"/>
      <c r="G37" s="108"/>
      <c r="H37" s="4"/>
    </row>
    <row r="38" spans="1:10" ht="18.75">
      <c r="A38" s="4"/>
      <c r="B38" s="94" t="s">
        <v>61</v>
      </c>
      <c r="C38" s="15"/>
      <c r="D38" s="102">
        <f>IF(IF(D35-D36&gt;0,D35-D36,0)&gt;D37,D37,IF(D35-D36&gt;0,D35-D36,0))</f>
        <v>0</v>
      </c>
      <c r="E38" s="10"/>
      <c r="F38" s="108"/>
      <c r="G38" s="108"/>
      <c r="H38" s="4"/>
    </row>
    <row r="39" spans="1:10" ht="18.75">
      <c r="A39" s="4"/>
      <c r="B39" s="94"/>
      <c r="C39" s="15"/>
      <c r="D39" s="169"/>
      <c r="E39" s="10"/>
      <c r="F39" s="108"/>
      <c r="G39" s="108"/>
      <c r="H39" s="4"/>
    </row>
    <row r="40" spans="1:10" ht="18.75">
      <c r="A40" s="4"/>
      <c r="B40" s="104" t="s">
        <v>75</v>
      </c>
      <c r="C40" s="15"/>
      <c r="D40" s="22"/>
      <c r="E40" s="10"/>
      <c r="F40" s="108"/>
      <c r="G40" s="108"/>
      <c r="H40" s="4"/>
    </row>
    <row r="41" spans="1:10" ht="18.75">
      <c r="A41" s="4"/>
      <c r="B41" s="94" t="s">
        <v>62</v>
      </c>
      <c r="C41" s="15"/>
      <c r="D41" s="103">
        <f>D30+D38</f>
        <v>0</v>
      </c>
      <c r="E41" s="10"/>
      <c r="F41" s="108"/>
      <c r="G41" s="108"/>
      <c r="H41" s="4"/>
    </row>
    <row r="42" spans="1:10" ht="37.5" customHeight="1">
      <c r="A42" s="4"/>
      <c r="B42" s="154" t="s">
        <v>86</v>
      </c>
      <c r="C42" s="155"/>
      <c r="D42" s="155">
        <f ca="1">calc!D1-'calc 2'!D1</f>
        <v>0</v>
      </c>
      <c r="E42" s="10"/>
      <c r="F42" s="108"/>
      <c r="G42" s="108"/>
      <c r="H42" s="4"/>
    </row>
    <row r="43" spans="1:10" ht="12.75">
      <c r="A43" s="4"/>
      <c r="B43" s="100" t="s">
        <v>63</v>
      </c>
      <c r="C43" s="78"/>
      <c r="D43" s="106">
        <f ca="1">calc!D12-'calc 2'!D12-'calc 2'!D31</f>
        <v>0</v>
      </c>
      <c r="E43" s="10"/>
      <c r="F43" s="108"/>
      <c r="G43" s="108"/>
      <c r="H43" s="4"/>
    </row>
    <row r="44" spans="1:10" ht="12.75">
      <c r="A44" s="4"/>
      <c r="B44" s="100" t="s">
        <v>64</v>
      </c>
      <c r="C44" s="78"/>
      <c r="D44" s="106">
        <f>'calc 2'!D20-calc!D20</f>
        <v>0</v>
      </c>
      <c r="E44" s="10"/>
      <c r="F44" s="108"/>
      <c r="G44" s="108"/>
      <c r="H44" s="4"/>
    </row>
    <row r="45" spans="1:10" ht="12.75">
      <c r="A45" s="4"/>
      <c r="B45" s="100" t="s">
        <v>82</v>
      </c>
      <c r="C45" s="15"/>
      <c r="D45" s="106">
        <f>'calc 2'!D28-calc!D28</f>
        <v>0</v>
      </c>
      <c r="E45" s="10"/>
      <c r="F45" s="108"/>
      <c r="G45" s="108"/>
      <c r="H45" s="4"/>
    </row>
    <row r="46" spans="1:10" ht="11.25">
      <c r="A46" s="4"/>
      <c r="B46" s="4"/>
      <c r="C46" s="15"/>
      <c r="D46" s="15"/>
      <c r="E46" s="10"/>
      <c r="F46" s="108"/>
      <c r="G46" s="108"/>
      <c r="H46" s="4"/>
    </row>
    <row r="47" spans="1:10" ht="11.25">
      <c r="A47" s="4"/>
      <c r="B47" s="4"/>
      <c r="C47" s="15"/>
      <c r="D47" s="15"/>
      <c r="E47" s="10"/>
      <c r="F47" s="108"/>
      <c r="G47" s="108"/>
      <c r="H47" s="4"/>
    </row>
    <row r="48" spans="1:10" s="8" customFormat="1" ht="18.75">
      <c r="A48" s="7"/>
      <c r="B48" s="156" t="s">
        <v>0</v>
      </c>
      <c r="C48" s="19"/>
      <c r="D48" s="19"/>
      <c r="E48" s="14"/>
      <c r="F48" s="159"/>
      <c r="G48" s="115"/>
      <c r="H48" s="115"/>
      <c r="J48" s="9"/>
    </row>
    <row r="49" spans="1:10" s="8" customFormat="1" ht="23.25">
      <c r="A49" s="7"/>
      <c r="B49" s="96"/>
      <c r="C49" s="19"/>
      <c r="D49" s="19"/>
      <c r="E49" s="14"/>
      <c r="F49" s="159"/>
      <c r="G49" s="115"/>
      <c r="H49" s="115"/>
      <c r="J49" s="9"/>
    </row>
    <row r="50" spans="1:10" ht="18.75">
      <c r="A50" s="4"/>
      <c r="B50" s="104" t="s">
        <v>77</v>
      </c>
      <c r="C50" s="15"/>
      <c r="D50" s="27"/>
      <c r="E50" s="10"/>
      <c r="F50" s="108"/>
      <c r="G50" s="108"/>
      <c r="H50" s="4"/>
    </row>
    <row r="51" spans="1:10" ht="18.75">
      <c r="A51" s="4"/>
      <c r="B51" s="94" t="s">
        <v>65</v>
      </c>
      <c r="C51" s="15"/>
      <c r="D51" s="102">
        <f>MIN(E7+E12,E8+E13)</f>
        <v>0</v>
      </c>
      <c r="E51" s="10"/>
      <c r="F51" s="108"/>
      <c r="G51" s="108"/>
      <c r="H51" s="4"/>
    </row>
    <row r="52" spans="1:10" ht="18.75">
      <c r="A52" s="4"/>
      <c r="B52" s="94"/>
      <c r="C52" s="15"/>
      <c r="D52" s="169"/>
      <c r="E52" s="10"/>
      <c r="F52" s="108"/>
      <c r="G52" s="108"/>
      <c r="H52" s="4"/>
    </row>
    <row r="53" spans="1:10" ht="18.75">
      <c r="A53" s="4"/>
      <c r="B53" s="104" t="s">
        <v>76</v>
      </c>
      <c r="C53" s="15"/>
      <c r="D53" s="21"/>
      <c r="E53" s="10"/>
      <c r="F53" s="108"/>
      <c r="G53" s="108"/>
      <c r="H53" s="4"/>
    </row>
    <row r="54" spans="1:10" ht="18.75">
      <c r="A54" s="4"/>
      <c r="B54" s="94" t="s">
        <v>66</v>
      </c>
      <c r="C54" s="15"/>
      <c r="D54" s="102">
        <f>MAX(E9+E14,0)</f>
        <v>0</v>
      </c>
      <c r="E54" s="10"/>
      <c r="F54" s="108"/>
      <c r="G54" s="108"/>
      <c r="H54" s="4"/>
    </row>
    <row r="55" spans="1:10" ht="18.75">
      <c r="A55" s="4"/>
      <c r="B55" s="94" t="s">
        <v>67</v>
      </c>
      <c r="C55" s="15"/>
      <c r="D55" s="102">
        <f>IF(D20&lt;0,0,MIN(0.5*D20,(100000)))</f>
        <v>0</v>
      </c>
      <c r="E55" s="10"/>
      <c r="F55" s="108"/>
      <c r="G55" s="108"/>
      <c r="H55" s="4"/>
    </row>
    <row r="56" spans="1:10" ht="18.75">
      <c r="A56" s="4"/>
      <c r="B56" s="94" t="s">
        <v>57</v>
      </c>
      <c r="C56" s="15"/>
      <c r="D56" s="102">
        <f>MAX(IF(E14&gt;5000,2500,E14*0.5),0)</f>
        <v>0</v>
      </c>
      <c r="E56" s="10"/>
      <c r="F56" s="108"/>
      <c r="G56" s="108"/>
      <c r="H56" s="4"/>
    </row>
    <row r="57" spans="1:10" ht="18.75">
      <c r="A57" s="4"/>
      <c r="B57" s="94" t="s">
        <v>68</v>
      </c>
      <c r="C57" s="15"/>
      <c r="D57" s="102">
        <f>MIN(D54,D55)+D56</f>
        <v>0</v>
      </c>
      <c r="E57" s="10"/>
      <c r="F57" s="108"/>
      <c r="G57" s="108"/>
      <c r="H57" s="4"/>
    </row>
    <row r="58" spans="1:10" ht="18.75">
      <c r="A58" s="4"/>
      <c r="B58" s="94"/>
      <c r="C58" s="15"/>
      <c r="D58" s="170"/>
      <c r="E58" s="10"/>
      <c r="F58" s="108"/>
      <c r="G58" s="108"/>
      <c r="H58" s="4"/>
    </row>
    <row r="59" spans="1:10" ht="18.75">
      <c r="A59" s="4"/>
      <c r="B59" s="104" t="s">
        <v>75</v>
      </c>
      <c r="C59" s="15"/>
      <c r="D59" s="81"/>
      <c r="E59" s="10"/>
      <c r="F59" s="108"/>
      <c r="G59" s="108"/>
      <c r="H59" s="4"/>
    </row>
    <row r="60" spans="1:10" ht="18.75">
      <c r="A60" s="4"/>
      <c r="B60" s="94" t="s">
        <v>69</v>
      </c>
      <c r="C60" s="15"/>
      <c r="D60" s="105">
        <f>D51+D57</f>
        <v>0</v>
      </c>
      <c r="E60" s="10"/>
      <c r="F60" s="108"/>
      <c r="G60" s="108"/>
      <c r="H60" s="4"/>
    </row>
    <row r="61" spans="1:10" ht="37.5" customHeight="1">
      <c r="A61" s="4"/>
      <c r="B61" s="154" t="s">
        <v>87</v>
      </c>
      <c r="C61" s="155"/>
      <c r="D61" s="155">
        <f>calc!D15-'calc 2'!D15</f>
        <v>0</v>
      </c>
      <c r="E61" s="10"/>
      <c r="F61" s="108"/>
      <c r="G61" s="108"/>
      <c r="H61" s="4"/>
    </row>
    <row r="62" spans="1:10" ht="18.75">
      <c r="A62" s="4"/>
      <c r="B62" s="94" t="s">
        <v>88</v>
      </c>
      <c r="C62" s="15"/>
      <c r="D62" s="105">
        <f>calc!D33</f>
        <v>0</v>
      </c>
      <c r="E62" s="10"/>
      <c r="F62" s="166" t="str">
        <f>TEXT(calc!C33,"#,##%")&amp;" x ("&amp;TEXT(D60,"€ #.###")&amp;" - "&amp;TEXT(D61,"€ #.###")&amp;")"</f>
        <v>26,9% x (€  - € )</v>
      </c>
      <c r="G62" s="108"/>
      <c r="H62" s="4"/>
    </row>
    <row r="63" spans="1:10" ht="15.95" customHeight="1">
      <c r="A63" s="4"/>
      <c r="B63" s="4"/>
      <c r="C63" s="15"/>
      <c r="D63" s="16"/>
      <c r="E63" s="10"/>
      <c r="F63" s="108"/>
      <c r="G63" s="108"/>
      <c r="H63" s="4"/>
    </row>
    <row r="64" spans="1:10" ht="15.95" customHeight="1">
      <c r="A64" s="4"/>
      <c r="B64" s="4"/>
      <c r="C64" s="15"/>
      <c r="D64" s="16"/>
      <c r="E64" s="10"/>
      <c r="F64" s="108"/>
      <c r="G64" s="108"/>
      <c r="H64" s="4"/>
    </row>
    <row r="65" spans="1:10" s="8" customFormat="1" ht="18.75">
      <c r="A65" s="7"/>
      <c r="B65" s="156" t="s">
        <v>72</v>
      </c>
      <c r="C65" s="19"/>
      <c r="D65" s="7"/>
      <c r="E65" s="14"/>
      <c r="F65" s="159"/>
      <c r="G65" s="164"/>
    </row>
    <row r="66" spans="1:10" ht="15.95" customHeight="1">
      <c r="A66" s="4"/>
      <c r="B66" s="4"/>
      <c r="C66" s="15"/>
      <c r="D66" s="16"/>
      <c r="E66" s="10"/>
      <c r="F66" s="108"/>
    </row>
    <row r="67" spans="1:10" ht="15.95" customHeight="1">
      <c r="A67" s="4"/>
      <c r="B67" s="4"/>
      <c r="C67" s="15"/>
      <c r="D67" s="16"/>
      <c r="E67" s="10"/>
      <c r="F67" s="108"/>
      <c r="H67" s="109"/>
      <c r="I67" s="109"/>
      <c r="J67" s="109"/>
    </row>
    <row r="68" spans="1:10" ht="15.95" customHeight="1">
      <c r="A68" s="4"/>
      <c r="B68" s="4"/>
      <c r="C68" s="15"/>
      <c r="D68" s="16"/>
      <c r="E68" s="10"/>
      <c r="F68" s="108"/>
      <c r="G68" s="159"/>
      <c r="H68" s="160"/>
      <c r="I68" s="109"/>
      <c r="J68" s="109"/>
    </row>
    <row r="69" spans="1:10" ht="15.95" customHeight="1">
      <c r="A69" s="4"/>
      <c r="B69" s="4"/>
      <c r="C69" s="15"/>
      <c r="D69" s="16"/>
      <c r="E69" s="10"/>
      <c r="F69" s="108"/>
      <c r="G69" s="115"/>
      <c r="H69" s="116"/>
      <c r="I69" s="109"/>
      <c r="J69" s="109"/>
    </row>
    <row r="70" spans="1:10" ht="15.95" customHeight="1">
      <c r="A70" s="4"/>
      <c r="B70" s="4"/>
      <c r="C70" s="15"/>
      <c r="D70" s="16"/>
      <c r="E70" s="10"/>
      <c r="F70" s="108"/>
      <c r="G70" s="115"/>
      <c r="H70" s="115"/>
      <c r="I70" s="109"/>
      <c r="J70" s="109"/>
    </row>
    <row r="71" spans="1:10" ht="15.95" customHeight="1">
      <c r="A71" s="4"/>
      <c r="B71" s="4"/>
      <c r="C71" s="15"/>
      <c r="D71" s="16"/>
      <c r="E71" s="10"/>
      <c r="F71" s="108"/>
      <c r="G71" s="115"/>
      <c r="H71" s="115"/>
      <c r="I71" s="109"/>
      <c r="J71" s="109"/>
    </row>
    <row r="72" spans="1:10" ht="15.95" customHeight="1">
      <c r="A72" s="4"/>
      <c r="B72" s="4"/>
      <c r="C72" s="15"/>
      <c r="D72" s="16"/>
      <c r="E72" s="10"/>
      <c r="F72" s="108"/>
      <c r="G72" s="115"/>
      <c r="H72" s="115"/>
      <c r="I72" s="109"/>
      <c r="J72" s="109"/>
    </row>
    <row r="73" spans="1:10" ht="15.95" customHeight="1">
      <c r="A73" s="4"/>
      <c r="B73" s="4"/>
      <c r="C73" s="15"/>
      <c r="D73" s="16"/>
      <c r="E73" s="10"/>
      <c r="F73" s="108"/>
      <c r="G73" s="115"/>
      <c r="H73" s="115"/>
      <c r="I73" s="109"/>
      <c r="J73" s="109"/>
    </row>
    <row r="74" spans="1:10" ht="15.95" customHeight="1">
      <c r="A74" s="4"/>
      <c r="B74" s="4"/>
      <c r="C74" s="15"/>
      <c r="D74" s="16"/>
      <c r="E74" s="10"/>
      <c r="F74" s="108"/>
      <c r="G74" s="115"/>
      <c r="H74" s="115"/>
      <c r="I74" s="109"/>
      <c r="J74" s="109"/>
    </row>
    <row r="75" spans="1:10" ht="15.95" customHeight="1">
      <c r="A75" s="4"/>
      <c r="B75" s="4"/>
      <c r="C75" s="15"/>
      <c r="D75" s="16"/>
      <c r="E75" s="10"/>
      <c r="F75" s="108"/>
      <c r="G75" s="115"/>
      <c r="H75" s="115"/>
      <c r="I75" s="109"/>
      <c r="J75" s="109"/>
    </row>
    <row r="76" spans="1:10" ht="15.95" customHeight="1">
      <c r="A76" s="4"/>
      <c r="B76" s="4"/>
      <c r="C76" s="15"/>
      <c r="D76" s="16"/>
      <c r="E76" s="10"/>
      <c r="F76" s="108"/>
      <c r="G76" s="115"/>
      <c r="H76" s="115"/>
      <c r="I76" s="109"/>
      <c r="J76" s="109"/>
    </row>
    <row r="77" spans="1:10" ht="15.95" customHeight="1">
      <c r="A77" s="4"/>
      <c r="B77" s="4"/>
      <c r="C77" s="15"/>
      <c r="D77" s="16"/>
      <c r="E77" s="10"/>
      <c r="F77" s="108"/>
      <c r="G77" s="115"/>
      <c r="H77" s="115"/>
      <c r="I77" s="109"/>
      <c r="J77" s="109"/>
    </row>
    <row r="78" spans="1:10" ht="15.95" customHeight="1">
      <c r="A78" s="4"/>
      <c r="B78" s="4"/>
      <c r="C78" s="15"/>
      <c r="D78" s="16"/>
      <c r="E78" s="10"/>
      <c r="F78" s="108"/>
      <c r="G78" s="115"/>
      <c r="H78" s="115"/>
      <c r="I78" s="109"/>
      <c r="J78" s="109"/>
    </row>
    <row r="79" spans="1:10" ht="15.95" customHeight="1">
      <c r="H79" s="109"/>
      <c r="I79" s="109"/>
      <c r="J79" s="109"/>
    </row>
    <row r="80" spans="1:10" ht="15.95" customHeight="1">
      <c r="B80" s="129" t="s">
        <v>81</v>
      </c>
    </row>
    <row r="81" spans="2:5" ht="15.95" customHeight="1">
      <c r="B81" s="94" t="s">
        <v>85</v>
      </c>
      <c r="C81" s="157">
        <f ca="1">D23</f>
        <v>0</v>
      </c>
      <c r="D81" s="183">
        <f>D62</f>
        <v>0</v>
      </c>
      <c r="E81" s="95"/>
    </row>
    <row r="82" spans="2:5" ht="15.95" customHeight="1">
      <c r="B82" s="94" t="s">
        <v>84</v>
      </c>
      <c r="C82" s="157">
        <f>D61</f>
        <v>0</v>
      </c>
      <c r="D82" s="183">
        <f>D62</f>
        <v>0</v>
      </c>
      <c r="E82" s="95"/>
    </row>
    <row r="83" spans="2:5" ht="15.95" customHeight="1">
      <c r="B83" s="94" t="s">
        <v>1</v>
      </c>
      <c r="C83" s="157">
        <f ca="1">D42</f>
        <v>0</v>
      </c>
      <c r="D83" s="183"/>
    </row>
    <row r="84" spans="2:5" ht="15.95" customHeight="1">
      <c r="C84" s="1"/>
      <c r="D84" s="1"/>
      <c r="E84" s="1"/>
    </row>
    <row r="85" spans="2:5" ht="15.95" customHeight="1">
      <c r="B85" s="182"/>
      <c r="C85" s="157"/>
    </row>
  </sheetData>
  <sheetProtection sheet="1" objects="1" scenarios="1"/>
  <mergeCells count="1">
    <mergeCell ref="B2:D2"/>
  </mergeCells>
  <phoneticPr fontId="0" type="noConversion"/>
  <dataValidations count="1">
    <dataValidation type="list" allowBlank="1" showInputMessage="1" showErrorMessage="1" sqref="E2" xr:uid="{00000000-0002-0000-0100-000000000000}">
      <formula1>"2022,2021,2020,2019,2018,2017,2016,2015,2014,2013,2012"</formula1>
    </dataValidation>
  </dataValidations>
  <pageMargins left="0.78740157480314965" right="0.78740157480314965" top="0.78740157480314965" bottom="0.78740157480314965" header="0.31496062992125984" footer="0.31496062992125984"/>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6" r:id="rId4" name="Scroll Bar 232">
              <controlPr locked="0" defaultSize="0" autoPict="0">
                <anchor moveWithCells="1">
                  <from>
                    <xdr:col>3</xdr:col>
                    <xdr:colOff>9525</xdr:colOff>
                    <xdr:row>6</xdr:row>
                    <xdr:rowOff>9525</xdr:rowOff>
                  </from>
                  <to>
                    <xdr:col>3</xdr:col>
                    <xdr:colOff>1885950</xdr:colOff>
                    <xdr:row>6</xdr:row>
                    <xdr:rowOff>219075</xdr:rowOff>
                  </to>
                </anchor>
              </controlPr>
            </control>
          </mc:Choice>
        </mc:AlternateContent>
        <mc:AlternateContent xmlns:mc="http://schemas.openxmlformats.org/markup-compatibility/2006">
          <mc:Choice Requires="x14">
            <control shapeId="1257" r:id="rId5" name="Scroll Bar 233">
              <controlPr locked="0" defaultSize="0" autoPict="0">
                <anchor moveWithCells="1">
                  <from>
                    <xdr:col>3</xdr:col>
                    <xdr:colOff>9525</xdr:colOff>
                    <xdr:row>11</xdr:row>
                    <xdr:rowOff>9525</xdr:rowOff>
                  </from>
                  <to>
                    <xdr:col>3</xdr:col>
                    <xdr:colOff>1885950</xdr:colOff>
                    <xdr:row>11</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O120"/>
  <sheetViews>
    <sheetView showGridLines="0" showRowColHeaders="0" zoomScaleNormal="100" workbookViewId="0">
      <selection activeCell="C33" sqref="C33"/>
    </sheetView>
  </sheetViews>
  <sheetFormatPr defaultColWidth="1.140625" defaultRowHeight="14.25" customHeight="1"/>
  <cols>
    <col min="1" max="1" width="25.5703125" bestFit="1" customWidth="1"/>
    <col min="2" max="2" width="16.42578125" bestFit="1" customWidth="1"/>
    <col min="3" max="3" width="9" bestFit="1" customWidth="1"/>
    <col min="4" max="4" width="20.42578125" bestFit="1" customWidth="1"/>
    <col min="5" max="6" width="10.7109375" bestFit="1" customWidth="1"/>
    <col min="7" max="8" width="9.140625" bestFit="1" customWidth="1"/>
    <col min="9" max="10" width="9" bestFit="1" customWidth="1"/>
    <col min="11" max="11" width="9.140625" bestFit="1" customWidth="1"/>
    <col min="12" max="12" width="9" bestFit="1" customWidth="1"/>
    <col min="13" max="13" width="9.42578125" bestFit="1" customWidth="1"/>
    <col min="14" max="15" width="8.7109375" bestFit="1" customWidth="1"/>
  </cols>
  <sheetData>
    <row r="1" spans="1:15" ht="14.25" customHeight="1">
      <c r="A1" s="28">
        <f>'1'!E2</f>
        <v>2022</v>
      </c>
      <c r="B1" s="29" t="s">
        <v>13</v>
      </c>
      <c r="C1" s="29"/>
      <c r="D1" s="30">
        <f ca="1">D12-D20-D28</f>
        <v>-2888</v>
      </c>
      <c r="E1" s="29"/>
      <c r="F1" s="31"/>
      <c r="G1" s="32"/>
      <c r="H1" s="29"/>
      <c r="I1" s="33"/>
      <c r="J1" s="29"/>
      <c r="K1" s="29"/>
      <c r="L1" s="29"/>
      <c r="M1" s="29"/>
      <c r="N1" s="29"/>
      <c r="O1" s="29"/>
    </row>
    <row r="2" spans="1:15" ht="14.25" customHeight="1">
      <c r="A2" s="28">
        <f>'1'!D18</f>
        <v>0</v>
      </c>
      <c r="B2" s="29" t="s">
        <v>14</v>
      </c>
      <c r="C2" s="29"/>
      <c r="D2" s="30"/>
      <c r="E2" s="29"/>
      <c r="F2" s="32"/>
      <c r="G2" s="32"/>
      <c r="H2" s="29"/>
      <c r="I2" s="33"/>
      <c r="J2" s="29"/>
      <c r="K2" s="29"/>
      <c r="L2" s="29"/>
      <c r="M2" s="29"/>
      <c r="N2" s="29"/>
      <c r="O2" s="29"/>
    </row>
    <row r="3" spans="1:15" ht="14.25" customHeight="1">
      <c r="A3" s="34">
        <f>A2-'1'!D19</f>
        <v>0</v>
      </c>
      <c r="B3" s="29" t="s">
        <v>15</v>
      </c>
      <c r="C3" s="29"/>
      <c r="D3" s="29"/>
      <c r="E3" s="29"/>
      <c r="F3" s="35"/>
      <c r="G3" s="29"/>
      <c r="H3" s="29"/>
      <c r="I3" s="29"/>
      <c r="J3" s="29"/>
      <c r="K3" s="29"/>
      <c r="L3" s="29"/>
      <c r="M3" s="29"/>
      <c r="N3" s="29"/>
      <c r="O3" s="29"/>
    </row>
    <row r="4" spans="1:15" ht="14.25" customHeight="1">
      <c r="A4" s="36">
        <v>36526</v>
      </c>
      <c r="B4" s="29" t="s">
        <v>16</v>
      </c>
      <c r="C4" s="29"/>
      <c r="D4" s="29"/>
      <c r="E4" s="29"/>
      <c r="F4" s="37"/>
      <c r="G4" s="29"/>
      <c r="H4" s="29"/>
      <c r="I4" s="29"/>
      <c r="J4" s="29"/>
      <c r="K4" s="29"/>
      <c r="L4" s="29"/>
      <c r="M4" s="29"/>
      <c r="N4" s="29"/>
      <c r="O4" s="29"/>
    </row>
    <row r="5" spans="1:15" ht="14.25" customHeight="1">
      <c r="A5" s="38"/>
      <c r="B5" s="29"/>
      <c r="C5" s="29"/>
      <c r="D5" s="29"/>
      <c r="E5" s="29"/>
      <c r="F5" s="31"/>
      <c r="G5" s="32"/>
      <c r="H5" s="29"/>
      <c r="I5" s="29"/>
      <c r="J5" s="29"/>
      <c r="K5" s="29"/>
      <c r="L5" s="29"/>
      <c r="M5" s="29"/>
      <c r="N5" s="29"/>
      <c r="O5" s="29"/>
    </row>
    <row r="6" spans="1:15" ht="14.25" customHeight="1">
      <c r="A6" s="39" t="s">
        <v>17</v>
      </c>
      <c r="B6" s="29"/>
      <c r="C6" s="29"/>
      <c r="D6" s="29"/>
      <c r="E6" s="29"/>
      <c r="F6" s="31"/>
      <c r="G6" s="32"/>
      <c r="H6" s="29"/>
      <c r="I6" s="29"/>
      <c r="J6" s="29"/>
      <c r="K6" s="29"/>
      <c r="L6" s="29"/>
      <c r="M6" s="29"/>
      <c r="N6" s="29"/>
      <c r="O6" s="29"/>
    </row>
    <row r="7" spans="1:15" ht="14.25" customHeight="1">
      <c r="A7" s="40" t="s">
        <v>18</v>
      </c>
      <c r="B7" s="41" t="s">
        <v>19</v>
      </c>
      <c r="C7" s="41" t="s">
        <v>20</v>
      </c>
      <c r="D7" s="42" t="s">
        <v>21</v>
      </c>
      <c r="E7" s="29"/>
      <c r="F7" s="43"/>
      <c r="G7" s="41"/>
      <c r="H7" s="41"/>
      <c r="I7" s="42"/>
      <c r="J7" s="29"/>
      <c r="K7" s="29"/>
      <c r="L7" s="29"/>
      <c r="M7" s="29"/>
      <c r="N7" s="29"/>
      <c r="O7" s="29"/>
    </row>
    <row r="8" spans="1:15" ht="14.25" customHeight="1">
      <c r="A8" s="44" t="s">
        <v>22</v>
      </c>
      <c r="B8" s="45">
        <f>LOOKUP($A$1,$B$38:$O$38,B39:O39)</f>
        <v>21317</v>
      </c>
      <c r="C8" s="46">
        <f ca="1">LOOKUP($A$1,$B$38:$O$38,B45:G45)</f>
        <v>0.37070000000000003</v>
      </c>
      <c r="D8" s="47">
        <f ca="1">IF($A$3&gt;$B8,$B8*$C8,$A$3*$C8)</f>
        <v>0</v>
      </c>
      <c r="E8" s="29"/>
      <c r="F8" s="48"/>
      <c r="G8" s="45"/>
      <c r="H8" s="46"/>
      <c r="I8" s="47"/>
      <c r="J8" s="29"/>
      <c r="K8" s="29"/>
      <c r="L8" s="29"/>
      <c r="M8" s="29"/>
      <c r="N8" s="29"/>
      <c r="O8" s="29"/>
    </row>
    <row r="9" spans="1:15" ht="14.25" customHeight="1">
      <c r="A9" s="44" t="s">
        <v>23</v>
      </c>
      <c r="B9" s="45">
        <f>LOOKUP($A$1,$B$38:$O$38,B40:O40)</f>
        <v>35427</v>
      </c>
      <c r="C9" s="46">
        <f ca="1">LOOKUP($A$1,$B$38:$O$38,B46:G46)</f>
        <v>0.37070000000000003</v>
      </c>
      <c r="D9" s="47">
        <f ca="1">MAX(IF($A$3&gt;$B9,($B9-$B8)*$C9,($A$3-$B8)*$C9),0)</f>
        <v>0</v>
      </c>
      <c r="E9" s="29"/>
      <c r="F9" s="48"/>
      <c r="G9" s="45"/>
      <c r="H9" s="46"/>
      <c r="I9" s="47"/>
      <c r="J9" s="29"/>
      <c r="K9" s="29"/>
      <c r="L9" s="29"/>
      <c r="M9" s="29"/>
      <c r="N9" s="29"/>
      <c r="O9" s="29"/>
    </row>
    <row r="10" spans="1:15" ht="14.25" customHeight="1">
      <c r="A10" s="44" t="s">
        <v>24</v>
      </c>
      <c r="B10" s="45">
        <f>LOOKUP($A$1,$B$38:$O$38,B41:O41)</f>
        <v>69398</v>
      </c>
      <c r="C10" s="46">
        <f ca="1">LOOKUP($A$1,$B$38:$O$38,B47:G47)</f>
        <v>0.37069999999999997</v>
      </c>
      <c r="D10" s="47">
        <f ca="1">MAX(IF($A$3&gt;$B10,($B10-$B9)*$C10,($A$3-$B9)*$C10),0)</f>
        <v>0</v>
      </c>
      <c r="E10" s="29"/>
      <c r="F10" s="48"/>
      <c r="G10" s="45"/>
      <c r="H10" s="46"/>
      <c r="I10" s="47"/>
      <c r="J10" s="29"/>
      <c r="K10" s="29"/>
      <c r="L10" s="29"/>
      <c r="M10" s="29"/>
      <c r="N10" s="29"/>
      <c r="O10" s="29"/>
    </row>
    <row r="11" spans="1:15" ht="14.25" customHeight="1">
      <c r="A11" s="44" t="s">
        <v>25</v>
      </c>
      <c r="B11" s="49">
        <v>1E+100</v>
      </c>
      <c r="C11" s="46">
        <f ca="1">LOOKUP($A$1,$B$38:$O$38,B48:G48)</f>
        <v>0.495</v>
      </c>
      <c r="D11" s="47">
        <f ca="1">MAX(IF($A$3&gt;$B11,($B11-$B10)*$C11,($A$3-$B10)*$C11),0)</f>
        <v>0</v>
      </c>
      <c r="E11" s="29"/>
      <c r="F11" s="48"/>
      <c r="G11" s="49"/>
      <c r="H11" s="46"/>
      <c r="I11" s="47"/>
      <c r="J11" s="29"/>
      <c r="K11" s="29"/>
      <c r="L11" s="29"/>
      <c r="M11" s="29"/>
      <c r="N11" s="29"/>
      <c r="O11" s="29"/>
    </row>
    <row r="12" spans="1:15" ht="14.25" customHeight="1">
      <c r="A12" s="44"/>
      <c r="B12" s="45"/>
      <c r="C12" s="45"/>
      <c r="D12" s="50">
        <f ca="1">ROUNDDOWN(SUM(D8:D11),0)</f>
        <v>0</v>
      </c>
      <c r="E12" s="29"/>
      <c r="F12" s="48"/>
      <c r="G12" s="45"/>
      <c r="H12" s="45"/>
      <c r="I12" s="51"/>
      <c r="J12" s="29"/>
      <c r="K12" s="29"/>
      <c r="L12" s="29"/>
      <c r="M12" s="29"/>
      <c r="N12" s="29"/>
      <c r="O12" s="29"/>
    </row>
    <row r="13" spans="1:15" ht="14.25" customHeight="1">
      <c r="A13" s="44"/>
      <c r="B13" s="45"/>
      <c r="C13" s="45"/>
      <c r="D13" s="51"/>
      <c r="E13" s="29"/>
      <c r="F13" s="44"/>
      <c r="G13" s="45"/>
      <c r="H13" s="45"/>
      <c r="I13" s="51"/>
      <c r="J13" s="29"/>
      <c r="K13" s="29"/>
      <c r="L13" s="29"/>
      <c r="M13" s="29"/>
      <c r="N13" s="29"/>
      <c r="O13" s="29"/>
    </row>
    <row r="14" spans="1:15" ht="14.25" customHeight="1">
      <c r="A14" s="40" t="s">
        <v>0</v>
      </c>
      <c r="B14" s="45"/>
      <c r="C14" s="45"/>
      <c r="D14" s="51"/>
      <c r="E14" s="29"/>
      <c r="F14" s="44"/>
      <c r="G14" s="45"/>
      <c r="H14" s="45"/>
      <c r="I14" s="51"/>
      <c r="J14" s="29"/>
      <c r="K14" s="29"/>
      <c r="L14" s="29"/>
      <c r="M14" s="29"/>
      <c r="N14" s="29"/>
      <c r="O14" s="29"/>
    </row>
    <row r="15" spans="1:15" ht="14.25" customHeight="1">
      <c r="A15" s="53">
        <f>'1'!D20</f>
        <v>0</v>
      </c>
      <c r="B15" s="45">
        <f>LOOKUP(A1,B52:O52,B53:O53)</f>
        <v>395000</v>
      </c>
      <c r="C15" s="52">
        <f>LOOKUP(A1,B52:O52,B54:O54)</f>
        <v>0.15</v>
      </c>
      <c r="D15" s="50">
        <f>IF(A15&lt;B15,A15*C15,(B15*C15)+((A15-B15)*C16))</f>
        <v>0</v>
      </c>
      <c r="E15" s="29"/>
      <c r="F15" s="44"/>
      <c r="G15" s="45"/>
      <c r="H15" s="45"/>
      <c r="I15" s="51"/>
      <c r="J15" s="29"/>
      <c r="K15" s="29"/>
      <c r="L15" s="29"/>
      <c r="M15" s="29"/>
      <c r="N15" s="29"/>
      <c r="O15" s="29"/>
    </row>
    <row r="16" spans="1:15" ht="14.25" customHeight="1">
      <c r="A16" s="44"/>
      <c r="B16" s="45"/>
      <c r="C16" s="52">
        <f>LOOKUP(A1,B52:O52,B55:O55)</f>
        <v>0.25800000000000001</v>
      </c>
      <c r="D16" s="51"/>
      <c r="E16" s="29"/>
      <c r="F16" s="44"/>
      <c r="G16" s="45"/>
      <c r="H16" s="45"/>
      <c r="I16" s="51"/>
      <c r="J16" s="29"/>
      <c r="K16" s="29"/>
      <c r="L16" s="29"/>
      <c r="M16" s="29"/>
      <c r="N16" s="29"/>
      <c r="O16" s="29"/>
    </row>
    <row r="17" spans="1:15" ht="14.25" customHeight="1">
      <c r="A17" s="39" t="s">
        <v>27</v>
      </c>
      <c r="B17" s="29"/>
      <c r="C17" s="29"/>
      <c r="D17" s="29"/>
      <c r="E17" s="29"/>
      <c r="F17" s="38"/>
      <c r="G17" s="32"/>
      <c r="H17" s="29"/>
      <c r="I17" s="29"/>
      <c r="J17" s="29"/>
      <c r="K17" s="29"/>
      <c r="L17" s="29"/>
      <c r="M17" s="29"/>
      <c r="N17" s="29"/>
      <c r="O17" s="29"/>
    </row>
    <row r="18" spans="1:15" ht="14.25" customHeight="1">
      <c r="A18" s="40" t="s">
        <v>28</v>
      </c>
      <c r="B18" s="41">
        <f>LOOKUP(A1,B38:O38,B57:O57)</f>
        <v>2888</v>
      </c>
      <c r="C18" s="41"/>
      <c r="D18" s="42"/>
      <c r="E18" s="29"/>
      <c r="F18" s="40"/>
      <c r="G18" s="41"/>
      <c r="H18" s="41"/>
      <c r="I18" s="42"/>
      <c r="J18" s="29"/>
      <c r="K18" s="29"/>
      <c r="L18" s="29"/>
      <c r="M18" s="29"/>
      <c r="N18" s="29"/>
      <c r="O18" s="29"/>
    </row>
    <row r="19" spans="1:15" ht="14.25" customHeight="1">
      <c r="A19" s="44" t="s">
        <v>29</v>
      </c>
      <c r="B19" s="45">
        <f>LOOKUP(A1,B38:O38,B59:O59)</f>
        <v>0</v>
      </c>
      <c r="C19" s="45"/>
      <c r="D19" s="47"/>
      <c r="E19" s="29"/>
      <c r="F19" s="44"/>
      <c r="G19" s="45"/>
      <c r="H19" s="45"/>
      <c r="I19" s="47"/>
      <c r="J19" s="29"/>
      <c r="K19" s="29"/>
      <c r="L19" s="29"/>
      <c r="M19" s="29"/>
      <c r="N19" s="29"/>
      <c r="O19" s="29"/>
    </row>
    <row r="20" spans="1:15" ht="14.25" customHeight="1">
      <c r="A20" s="44" t="s">
        <v>30</v>
      </c>
      <c r="B20" s="45">
        <f>LOOKUP($A$1,$B$38:$O$38,B39:O39)</f>
        <v>21317</v>
      </c>
      <c r="C20" s="45">
        <f>LOOKUP($A$1,$B$38:$O$38,B58:O58)</f>
        <v>6.0069999999999998E-2</v>
      </c>
      <c r="D20" s="50">
        <f>MAX(IF(A3&gt;B20,B18-((A3-B20)*C20),B18),B19)</f>
        <v>2888</v>
      </c>
      <c r="E20" s="29"/>
      <c r="F20" s="44"/>
      <c r="G20" s="45"/>
      <c r="H20" s="45"/>
      <c r="I20" s="51"/>
      <c r="J20" s="29"/>
      <c r="K20" s="29"/>
      <c r="L20" s="29"/>
      <c r="M20" s="29"/>
      <c r="N20" s="29"/>
      <c r="O20" s="29"/>
    </row>
    <row r="21" spans="1:15" ht="14.25" customHeight="1">
      <c r="A21" s="44"/>
      <c r="B21" s="45"/>
      <c r="C21" s="45"/>
      <c r="D21" s="54"/>
      <c r="E21" s="45"/>
      <c r="F21" s="55"/>
      <c r="G21" s="47"/>
      <c r="H21" s="47"/>
      <c r="I21" s="29"/>
      <c r="J21" s="45"/>
      <c r="K21" s="45"/>
      <c r="L21" s="45"/>
      <c r="M21" s="54"/>
      <c r="N21" s="45"/>
      <c r="O21" s="56"/>
    </row>
    <row r="22" spans="1:15" ht="14.25" customHeight="1">
      <c r="A22" s="44"/>
      <c r="B22" s="45"/>
      <c r="C22" s="45"/>
      <c r="D22" s="54"/>
      <c r="E22" s="45"/>
      <c r="F22" s="55"/>
      <c r="G22" s="47"/>
      <c r="H22" s="47"/>
      <c r="I22" s="29"/>
      <c r="J22" s="45"/>
      <c r="K22" s="45"/>
      <c r="L22" s="45"/>
      <c r="M22" s="54"/>
      <c r="N22" s="45"/>
      <c r="O22" s="56"/>
    </row>
    <row r="23" spans="1:15" ht="14.25" customHeight="1">
      <c r="A23" s="40" t="s">
        <v>31</v>
      </c>
      <c r="B23" s="45"/>
      <c r="C23" s="45"/>
      <c r="D23" s="45"/>
      <c r="E23" s="45"/>
      <c r="F23" s="48"/>
      <c r="G23" s="45"/>
      <c r="H23" s="45"/>
      <c r="I23" s="45"/>
      <c r="J23" s="29"/>
      <c r="K23" s="45"/>
      <c r="L23" s="45"/>
      <c r="M23" s="45"/>
      <c r="N23" s="45"/>
      <c r="O23" s="45"/>
    </row>
    <row r="24" spans="1:15" ht="14.25" customHeight="1">
      <c r="A24" s="44" t="s">
        <v>22</v>
      </c>
      <c r="B24" s="29">
        <f>LOOKUP($A$1,$B$61:$O$61,B62:O62)</f>
        <v>10350</v>
      </c>
      <c r="C24" s="29">
        <f>LOOKUP($A$1,$B$61:$O$61,B67:O67)</f>
        <v>4.5410000000000006E-2</v>
      </c>
      <c r="D24" s="47">
        <f>IF($A$2&gt;$B24,$B24*$C24,$A$2*$C24)</f>
        <v>0</v>
      </c>
      <c r="E24" s="29"/>
      <c r="F24" s="48"/>
      <c r="G24" s="29"/>
      <c r="H24" s="29"/>
      <c r="I24" s="47"/>
      <c r="J24" s="29"/>
      <c r="K24" s="29"/>
      <c r="L24" s="29"/>
      <c r="M24" s="29"/>
      <c r="N24" s="29"/>
      <c r="O24" s="29"/>
    </row>
    <row r="25" spans="1:15" ht="14.25" customHeight="1">
      <c r="A25" s="44" t="s">
        <v>23</v>
      </c>
      <c r="B25" s="29">
        <f>LOOKUP($A$1,$B$61:$O$61,B63:O63)</f>
        <v>22356</v>
      </c>
      <c r="C25" s="29">
        <f>LOOKUP($A$1,$B$61:$O$61,B68:O68)</f>
        <v>0.28460999999999997</v>
      </c>
      <c r="D25" s="47">
        <f>MAX(IF($A$2&gt;$B25,($B25-$B24)*$C25,($A$2-$B24)*$C25),0)</f>
        <v>0</v>
      </c>
      <c r="E25" s="41"/>
      <c r="F25" s="48"/>
      <c r="G25" s="29"/>
      <c r="H25" s="29"/>
      <c r="I25" s="47"/>
      <c r="J25" s="29"/>
      <c r="K25" s="41"/>
      <c r="L25" s="41"/>
      <c r="M25" s="41"/>
      <c r="N25" s="41"/>
      <c r="O25" s="41"/>
    </row>
    <row r="26" spans="1:15" ht="14.25" customHeight="1">
      <c r="A26" s="44" t="s">
        <v>24</v>
      </c>
      <c r="B26" s="29">
        <f>LOOKUP($A$1,$B$61:$O$61,B64:O64)</f>
        <v>36649</v>
      </c>
      <c r="C26" s="29">
        <f>LOOKUP($A$1,$B$61:$O$61,B69:O69)</f>
        <v>2.6099999999999998E-2</v>
      </c>
      <c r="D26" s="47">
        <f>MAX(IF($A$2&gt;$B26,($B26-$B25)*$C26,($A$2-$B25)*$C26),0)</f>
        <v>0</v>
      </c>
      <c r="E26" s="45"/>
      <c r="F26" s="48"/>
      <c r="G26" s="29"/>
      <c r="H26" s="29"/>
      <c r="I26" s="47"/>
      <c r="J26" s="29"/>
      <c r="K26" s="45"/>
      <c r="L26" s="45"/>
      <c r="M26" s="54"/>
      <c r="N26" s="45"/>
      <c r="O26" s="56"/>
    </row>
    <row r="27" spans="1:15" ht="14.25" customHeight="1">
      <c r="A27" s="44" t="s">
        <v>25</v>
      </c>
      <c r="B27" s="29">
        <f>LOOKUP($A$1,$B$61:$O$61,B65:O65)</f>
        <v>109345.24573378838</v>
      </c>
      <c r="C27" s="29">
        <f>-1*(LOOKUP($A$1,$B$61:$O$61,B70:O70))</f>
        <v>-5.8600000000000006E-2</v>
      </c>
      <c r="D27" s="47">
        <f>IF(A2&lt;B26,0,IF($A$2&gt;$B27,($B27-$B26)*$C27,($A$2-$B26)*$C27))</f>
        <v>0</v>
      </c>
      <c r="E27" s="45"/>
      <c r="F27" s="48"/>
      <c r="G27" s="29"/>
      <c r="H27" s="29"/>
      <c r="I27" s="47"/>
      <c r="J27" s="29"/>
      <c r="K27" s="45"/>
      <c r="L27" s="45"/>
      <c r="M27" s="54"/>
      <c r="N27" s="45"/>
      <c r="O27" s="56"/>
    </row>
    <row r="28" spans="1:15" ht="14.25" customHeight="1">
      <c r="A28" s="44" t="s">
        <v>32</v>
      </c>
      <c r="B28" s="45">
        <f>LOOKUP($A$1,$B$61:$O$61,B72:O72)</f>
        <v>4260</v>
      </c>
      <c r="C28" s="45">
        <f>LOOKUP($A$1,$B$61:$O$61,B73:O73)</f>
        <v>0</v>
      </c>
      <c r="D28" s="50">
        <f>MAX(SUM(D24:D27),C28)</f>
        <v>0</v>
      </c>
      <c r="E28" s="45"/>
      <c r="F28" s="48"/>
      <c r="G28" s="45"/>
      <c r="H28" s="45"/>
      <c r="I28" s="51"/>
      <c r="J28" s="29"/>
      <c r="K28" s="45"/>
      <c r="L28" s="45"/>
      <c r="M28" s="54"/>
      <c r="N28" s="45"/>
      <c r="O28" s="56"/>
    </row>
    <row r="29" spans="1:15" ht="14.25" customHeight="1">
      <c r="A29" s="44"/>
      <c r="B29" s="45"/>
      <c r="C29" s="45"/>
      <c r="D29" s="47"/>
      <c r="E29" s="45"/>
      <c r="F29" s="55"/>
      <c r="G29" s="47"/>
      <c r="H29" s="47"/>
      <c r="I29" s="29"/>
      <c r="J29" s="45"/>
      <c r="K29" s="45"/>
      <c r="L29" s="45"/>
      <c r="M29" s="54"/>
      <c r="N29" s="45"/>
      <c r="O29" s="56"/>
    </row>
    <row r="30" spans="1:15" ht="14.25" customHeight="1">
      <c r="A30" s="44" t="s">
        <v>50</v>
      </c>
      <c r="B30" s="80">
        <f>'1'!D41</f>
        <v>0</v>
      </c>
      <c r="C30" s="45"/>
      <c r="D30" s="47"/>
      <c r="E30" s="45"/>
      <c r="F30" s="56"/>
      <c r="G30" s="47"/>
      <c r="H30" s="47"/>
      <c r="I30" s="29"/>
      <c r="J30" s="45"/>
      <c r="K30" s="45"/>
      <c r="L30" s="45"/>
      <c r="M30" s="54"/>
      <c r="N30" s="45"/>
      <c r="O30" s="56"/>
    </row>
    <row r="31" spans="1:15" ht="14.25" customHeight="1">
      <c r="A31" s="44"/>
      <c r="B31" s="45">
        <f>LOOKUP(A1,B61:O61,B76:O76)</f>
        <v>9.5000000000000001E-2</v>
      </c>
      <c r="C31" s="45">
        <f>IF(MAX(A3-B10,0)&gt;B30,B30,MAX((A3-B10),0))</f>
        <v>0</v>
      </c>
      <c r="D31" s="50">
        <f>ROUNDDOWN(B31*C31,0)</f>
        <v>0</v>
      </c>
      <c r="E31" s="45"/>
      <c r="F31" s="56"/>
      <c r="G31" s="47"/>
      <c r="H31" s="47"/>
      <c r="I31" s="29"/>
      <c r="J31" s="45"/>
      <c r="K31" s="45"/>
      <c r="L31" s="45"/>
      <c r="M31" s="54"/>
      <c r="N31" s="45"/>
      <c r="O31" s="56"/>
    </row>
    <row r="32" spans="1:15" ht="14.25" customHeight="1">
      <c r="A32" s="44"/>
      <c r="B32" s="45"/>
      <c r="C32" s="45"/>
      <c r="D32" s="54"/>
      <c r="E32" s="45"/>
      <c r="F32" s="56"/>
      <c r="G32" s="47"/>
      <c r="H32" s="47"/>
      <c r="I32" s="29"/>
      <c r="J32" s="45"/>
      <c r="K32" s="45"/>
      <c r="L32" s="45"/>
      <c r="M32" s="54"/>
      <c r="N32" s="45"/>
      <c r="O32" s="56"/>
    </row>
    <row r="33" spans="1:15" ht="14.25" customHeight="1">
      <c r="A33" s="44" t="s">
        <v>26</v>
      </c>
      <c r="B33" s="80">
        <f>'1'!D60-'1'!D61</f>
        <v>0</v>
      </c>
      <c r="C33" s="45">
        <f>LOOKUP(A1,B38:O38,B50:O50)</f>
        <v>0.26900000000000002</v>
      </c>
      <c r="D33" s="82">
        <f>ROUNDDOWN(B33*C33,0)</f>
        <v>0</v>
      </c>
      <c r="E33" s="45"/>
      <c r="F33" s="56"/>
      <c r="G33" s="47"/>
      <c r="H33" s="47"/>
      <c r="I33" s="29"/>
      <c r="J33" s="45"/>
      <c r="K33" s="45"/>
      <c r="L33" s="45"/>
      <c r="M33" s="54"/>
      <c r="N33" s="45"/>
      <c r="O33" s="56"/>
    </row>
    <row r="34" spans="1:15" ht="14.25" customHeight="1">
      <c r="A34" s="44"/>
      <c r="B34" s="45"/>
      <c r="C34" s="45"/>
      <c r="D34" s="54"/>
      <c r="E34" s="45"/>
      <c r="F34" s="56"/>
      <c r="G34" s="47"/>
      <c r="H34" s="47"/>
      <c r="I34" s="29"/>
      <c r="J34" s="45"/>
      <c r="K34" s="45"/>
      <c r="L34" s="45"/>
      <c r="M34" s="54"/>
      <c r="N34" s="45"/>
      <c r="O34" s="56"/>
    </row>
    <row r="35" spans="1:15" ht="14.25" customHeight="1">
      <c r="A35" s="57" t="s">
        <v>33</v>
      </c>
      <c r="B35" s="45"/>
      <c r="C35" s="45"/>
      <c r="D35" s="45"/>
      <c r="E35" s="45"/>
      <c r="F35" s="45"/>
      <c r="G35" s="58"/>
      <c r="H35" s="58"/>
      <c r="I35" s="29"/>
      <c r="J35" s="45"/>
      <c r="K35" s="45"/>
      <c r="L35" s="45"/>
      <c r="M35" s="45"/>
      <c r="N35" s="45"/>
      <c r="O35" s="45"/>
    </row>
    <row r="36" spans="1:15" ht="14.25" customHeight="1">
      <c r="A36" s="38"/>
      <c r="B36" s="29"/>
      <c r="C36" s="29"/>
      <c r="D36" s="29"/>
      <c r="E36" s="29"/>
      <c r="F36" s="32"/>
      <c r="G36" s="32"/>
      <c r="H36" s="29"/>
      <c r="I36" s="29"/>
      <c r="J36" s="29"/>
      <c r="K36" s="29"/>
      <c r="L36" s="29"/>
      <c r="M36" s="29"/>
      <c r="N36" s="29"/>
      <c r="O36" s="29"/>
    </row>
    <row r="37" spans="1:15" ht="14.25" customHeight="1">
      <c r="A37" s="40" t="s">
        <v>1</v>
      </c>
      <c r="B37" s="41"/>
      <c r="C37" s="41"/>
      <c r="D37" s="41"/>
      <c r="E37" s="42"/>
      <c r="F37" s="42"/>
      <c r="G37" s="32"/>
      <c r="H37" s="41"/>
      <c r="I37" s="41"/>
      <c r="J37" s="41"/>
      <c r="K37" s="41"/>
      <c r="L37" s="41"/>
      <c r="M37" s="41"/>
      <c r="N37" s="42"/>
      <c r="O37" s="42"/>
    </row>
    <row r="38" spans="1:15" ht="14.25" customHeight="1">
      <c r="A38" s="59"/>
      <c r="B38" s="60">
        <v>2012</v>
      </c>
      <c r="C38" s="60">
        <v>2013</v>
      </c>
      <c r="D38" s="60">
        <v>2014</v>
      </c>
      <c r="E38" s="60">
        <v>2015</v>
      </c>
      <c r="F38" s="60">
        <v>2016</v>
      </c>
      <c r="G38" s="60">
        <v>2017</v>
      </c>
      <c r="H38" s="60">
        <v>2018</v>
      </c>
      <c r="I38" s="60">
        <v>2019</v>
      </c>
      <c r="J38" s="83">
        <v>2020</v>
      </c>
      <c r="K38" s="83">
        <v>2021</v>
      </c>
      <c r="L38" s="83">
        <v>2022</v>
      </c>
      <c r="M38" s="144">
        <v>2023</v>
      </c>
      <c r="N38" s="60">
        <v>2024</v>
      </c>
      <c r="O38" s="60">
        <v>2025</v>
      </c>
    </row>
    <row r="39" spans="1:15" ht="14.25" customHeight="1">
      <c r="A39" s="44" t="s">
        <v>34</v>
      </c>
      <c r="B39" s="61">
        <v>18945</v>
      </c>
      <c r="C39" s="61">
        <v>19645</v>
      </c>
      <c r="D39" s="61">
        <v>19645</v>
      </c>
      <c r="E39" s="61">
        <v>19822</v>
      </c>
      <c r="F39" s="61">
        <v>19922</v>
      </c>
      <c r="G39" s="62">
        <v>19982</v>
      </c>
      <c r="H39" s="62">
        <v>20142</v>
      </c>
      <c r="I39" s="61">
        <v>20384</v>
      </c>
      <c r="J39" s="84">
        <v>20711</v>
      </c>
      <c r="K39" s="84">
        <v>20939</v>
      </c>
      <c r="L39" s="84">
        <v>21317</v>
      </c>
      <c r="M39" s="143">
        <v>21317</v>
      </c>
      <c r="N39" s="61"/>
      <c r="O39" s="61"/>
    </row>
    <row r="40" spans="1:15" ht="14.25" customHeight="1">
      <c r="A40" s="44"/>
      <c r="B40" s="61">
        <f>IF($A$4&lt;1946-1-1,34055,33863)</f>
        <v>33863</v>
      </c>
      <c r="C40" s="61">
        <f>IF($A$4&lt;1946-1-1,33555,33363)</f>
        <v>33363</v>
      </c>
      <c r="D40" s="61">
        <f>IF($A$4&lt;1946-1-1,33555,33363)</f>
        <v>33363</v>
      </c>
      <c r="E40" s="61">
        <f>IF($A$4&lt;1946-1-1,33857,33589)</f>
        <v>33589</v>
      </c>
      <c r="F40" s="61">
        <f>IF($A$4&lt;1946-1-1,34027,33715)</f>
        <v>33715</v>
      </c>
      <c r="G40" s="61">
        <f>IF($A$4&lt;1946-1-1,34130,33791)</f>
        <v>33791</v>
      </c>
      <c r="H40" s="61">
        <f>IF($A$4&lt;1946-1-1,34404,33994)</f>
        <v>33994</v>
      </c>
      <c r="I40" s="61">
        <f>IF($A$4&lt;1946-1-1,34817,34300)</f>
        <v>34300</v>
      </c>
      <c r="J40" s="84">
        <f>IF($A$4&lt;1946-1-1,35375,34712)</f>
        <v>34712</v>
      </c>
      <c r="K40" s="84">
        <f>IF($A$4&lt;1946-1-1,35941,35129)</f>
        <v>35129</v>
      </c>
      <c r="L40" s="84">
        <f>IF($A$4&lt;1946-1-1,36409,35427)</f>
        <v>35427</v>
      </c>
      <c r="M40" s="143">
        <f>IF($A$4&lt;1946-1-1,36409,35427)</f>
        <v>35427</v>
      </c>
      <c r="N40" s="61"/>
      <c r="O40" s="61"/>
    </row>
    <row r="41" spans="1:15" ht="14.25" customHeight="1">
      <c r="A41" s="44"/>
      <c r="B41" s="61">
        <v>56491</v>
      </c>
      <c r="C41" s="61">
        <v>55991</v>
      </c>
      <c r="D41" s="61">
        <v>56531</v>
      </c>
      <c r="E41" s="61">
        <v>57585</v>
      </c>
      <c r="F41" s="61">
        <v>66421</v>
      </c>
      <c r="G41" s="62">
        <v>67072</v>
      </c>
      <c r="H41" s="62">
        <v>67073</v>
      </c>
      <c r="I41" s="61">
        <v>68507</v>
      </c>
      <c r="J41" s="84">
        <v>68507</v>
      </c>
      <c r="K41" s="84">
        <v>68507</v>
      </c>
      <c r="L41" s="84">
        <v>69398</v>
      </c>
      <c r="M41" s="143">
        <v>69399</v>
      </c>
      <c r="N41" s="61"/>
      <c r="O41" s="61"/>
    </row>
    <row r="42" spans="1:15" ht="14.25" customHeight="1">
      <c r="A42" s="38"/>
      <c r="B42" s="29"/>
      <c r="C42" s="29"/>
      <c r="D42" s="29"/>
      <c r="E42" s="29"/>
      <c r="F42" s="32"/>
      <c r="G42" s="32"/>
      <c r="H42" s="29"/>
      <c r="I42" s="29"/>
      <c r="J42" s="85"/>
      <c r="K42" s="85"/>
      <c r="L42" s="85"/>
      <c r="M42" s="144"/>
      <c r="N42" s="29"/>
      <c r="O42" s="29"/>
    </row>
    <row r="43" spans="1:15" ht="14.25" customHeight="1">
      <c r="A43" s="44" t="s">
        <v>35</v>
      </c>
      <c r="B43" s="63">
        <v>17168</v>
      </c>
      <c r="C43" s="64">
        <v>17533</v>
      </c>
      <c r="D43" s="63">
        <v>17868</v>
      </c>
      <c r="E43" s="63">
        <v>18203</v>
      </c>
      <c r="F43" s="63">
        <v>18537</v>
      </c>
      <c r="G43" s="63">
        <v>18810</v>
      </c>
      <c r="H43" s="63">
        <v>19085</v>
      </c>
      <c r="I43" s="63">
        <v>19360</v>
      </c>
      <c r="J43" s="86">
        <v>19603</v>
      </c>
      <c r="K43" s="86">
        <v>19968</v>
      </c>
      <c r="L43" s="86">
        <v>20333</v>
      </c>
      <c r="M43" s="145">
        <v>20607</v>
      </c>
      <c r="N43" s="63"/>
      <c r="O43" s="63"/>
    </row>
    <row r="44" spans="1:15" ht="14.25" customHeight="1">
      <c r="A44" s="44" t="s">
        <v>36</v>
      </c>
      <c r="B44" s="45" t="b">
        <f t="shared" ref="B44:L44" si="0">$A$4&lt;B43</f>
        <v>0</v>
      </c>
      <c r="C44" s="45" t="b">
        <f t="shared" si="0"/>
        <v>0</v>
      </c>
      <c r="D44" s="45" t="b">
        <f t="shared" si="0"/>
        <v>0</v>
      </c>
      <c r="E44" s="45" t="b">
        <f t="shared" si="0"/>
        <v>0</v>
      </c>
      <c r="F44" s="45" t="b">
        <f t="shared" si="0"/>
        <v>0</v>
      </c>
      <c r="G44" s="45" t="b">
        <f t="shared" si="0"/>
        <v>0</v>
      </c>
      <c r="H44" s="45" t="b">
        <f t="shared" si="0"/>
        <v>0</v>
      </c>
      <c r="I44" s="45" t="b">
        <f t="shared" si="0"/>
        <v>0</v>
      </c>
      <c r="J44" s="85" t="b">
        <f t="shared" si="0"/>
        <v>0</v>
      </c>
      <c r="K44" s="85" t="b">
        <f t="shared" si="0"/>
        <v>0</v>
      </c>
      <c r="L44" s="85" t="b">
        <f t="shared" si="0"/>
        <v>0</v>
      </c>
      <c r="M44" s="144" t="b">
        <f t="shared" ref="M44" si="1">$A$4&lt;M43</f>
        <v>0</v>
      </c>
      <c r="N44" s="45"/>
      <c r="O44" s="45"/>
    </row>
    <row r="45" spans="1:15" ht="14.25" customHeight="1">
      <c r="A45" s="44" t="s">
        <v>37</v>
      </c>
      <c r="B45" s="54">
        <f>IF(B$44=TRUE,15.2%,33.1%)</f>
        <v>0.33100000000000002</v>
      </c>
      <c r="C45" s="54">
        <f>IF(C$44=TRUE,19.1%,37%)</f>
        <v>0.37</v>
      </c>
      <c r="D45" s="54">
        <f>IF(D$44=TRUE,18.35%,36.25%)</f>
        <v>0.36249999999999999</v>
      </c>
      <c r="E45" s="54">
        <f>IF(E$44=TRUE,18.6%,36.5%)</f>
        <v>0.36499999999999999</v>
      </c>
      <c r="F45" s="54">
        <f>IF(F$44=TRUE,18.65%,36.55%)</f>
        <v>0.36549999999999999</v>
      </c>
      <c r="G45" s="54">
        <f>IF(G$44=TRUE,18.65%,36.55%)</f>
        <v>0.36549999999999999</v>
      </c>
      <c r="H45" s="54">
        <f>IF(H$44=TRUE,18.65%,36.55%)</f>
        <v>0.36549999999999999</v>
      </c>
      <c r="I45" s="54">
        <f>IF(I44=TRUE,18.75%,36.65%)</f>
        <v>0.36649999999999999</v>
      </c>
      <c r="J45" s="87">
        <f>IF(J44=TRUE,19.45%,37.35%)</f>
        <v>0.3735</v>
      </c>
      <c r="K45" s="87">
        <f>IF(K44=TRUE,19.2%,37.1%)</f>
        <v>0.371</v>
      </c>
      <c r="L45" s="87">
        <f>IF(L44=TRUE,19.17%,37.07%)</f>
        <v>0.37070000000000003</v>
      </c>
      <c r="M45" s="146">
        <f>IF(M44=TRUE,19.17%,37.07%)</f>
        <v>0.37070000000000003</v>
      </c>
      <c r="N45" s="54"/>
      <c r="O45" s="54"/>
    </row>
    <row r="46" spans="1:15" ht="14.25" customHeight="1">
      <c r="A46" s="44" t="s">
        <v>38</v>
      </c>
      <c r="B46" s="54">
        <f>IF(B$44=TRUE,24.05%,41.95%)</f>
        <v>0.41950000000000004</v>
      </c>
      <c r="C46" s="54">
        <f>IF(C$44=TRUE,24.1%,42%)</f>
        <v>0.42</v>
      </c>
      <c r="D46" s="54">
        <f>IF(D$44=TRUE,24.1%,42%)</f>
        <v>0.42</v>
      </c>
      <c r="E46" s="54">
        <f>IF(E$44=TRUE,24.1%,42%)</f>
        <v>0.42</v>
      </c>
      <c r="F46" s="54">
        <f>IF(F$44=TRUE,22.5%,40.4%)</f>
        <v>0.40399999999999997</v>
      </c>
      <c r="G46" s="54">
        <f>IF(G$44=TRUE,22.9%,40.8%)</f>
        <v>0.40799999999999997</v>
      </c>
      <c r="H46" s="54">
        <f>IF(H$44=TRUE,22.95%,40.85%)</f>
        <v>0.40850000000000003</v>
      </c>
      <c r="I46" s="54">
        <f>IF(I44=TRUE,20.2%,38.1%)</f>
        <v>0.38100000000000001</v>
      </c>
      <c r="J46" s="87">
        <f>IF(J44=TRUE,19.45%,37.35%)</f>
        <v>0.3735</v>
      </c>
      <c r="K46" s="87">
        <f>IF(K44=TRUE,19.2%,37.1%)</f>
        <v>0.371</v>
      </c>
      <c r="L46" s="87">
        <f>IF(L44=TRUE,19.17%,37.07%)</f>
        <v>0.37070000000000003</v>
      </c>
      <c r="M46" s="146">
        <f>IF(M44=TRUE,19.17%,37.07%)</f>
        <v>0.37070000000000003</v>
      </c>
      <c r="N46" s="54"/>
      <c r="O46" s="54"/>
    </row>
    <row r="47" spans="1:15" ht="14.25" customHeight="1">
      <c r="A47" s="44" t="s">
        <v>39</v>
      </c>
      <c r="B47" s="54">
        <v>0.42</v>
      </c>
      <c r="C47" s="54">
        <v>0.42</v>
      </c>
      <c r="D47" s="54">
        <v>0.42</v>
      </c>
      <c r="E47" s="54">
        <v>0.42</v>
      </c>
      <c r="F47" s="54">
        <v>0.40400000000000003</v>
      </c>
      <c r="G47" s="65">
        <v>0.40799999999999997</v>
      </c>
      <c r="H47" s="65">
        <v>0.40849999999999997</v>
      </c>
      <c r="I47" s="65">
        <v>0.38100000000000001</v>
      </c>
      <c r="J47" s="87">
        <v>0.3735</v>
      </c>
      <c r="K47" s="87">
        <v>0.371</v>
      </c>
      <c r="L47" s="87">
        <v>0.37069999999999997</v>
      </c>
      <c r="M47" s="146">
        <v>0.37069999999999997</v>
      </c>
      <c r="N47" s="54"/>
      <c r="O47" s="54"/>
    </row>
    <row r="48" spans="1:15" ht="14.25" customHeight="1">
      <c r="A48" s="44" t="s">
        <v>40</v>
      </c>
      <c r="B48" s="54">
        <v>0.52</v>
      </c>
      <c r="C48" s="54">
        <v>0.52</v>
      </c>
      <c r="D48" s="54">
        <v>0.52</v>
      </c>
      <c r="E48" s="54">
        <v>0.52</v>
      </c>
      <c r="F48" s="54">
        <v>0.52</v>
      </c>
      <c r="G48" s="65">
        <v>0.52</v>
      </c>
      <c r="H48" s="65">
        <v>0.51949999999999996</v>
      </c>
      <c r="I48" s="65">
        <v>0.51749999999999996</v>
      </c>
      <c r="J48" s="87">
        <v>0.495</v>
      </c>
      <c r="K48" s="87">
        <v>0.495</v>
      </c>
      <c r="L48" s="87">
        <v>0.495</v>
      </c>
      <c r="M48" s="146">
        <v>0.495</v>
      </c>
      <c r="N48" s="66"/>
      <c r="O48" s="66"/>
    </row>
    <row r="49" spans="1:15" ht="14.25" customHeight="1">
      <c r="A49" s="38"/>
      <c r="B49" s="29"/>
      <c r="C49" s="29"/>
      <c r="D49" s="29"/>
      <c r="E49" s="29"/>
      <c r="F49" s="32"/>
      <c r="G49" s="32"/>
      <c r="H49" s="29"/>
      <c r="I49" s="29"/>
      <c r="J49" s="85"/>
      <c r="K49" s="85"/>
      <c r="L49" s="85"/>
      <c r="M49" s="144"/>
      <c r="N49" s="29"/>
      <c r="O49" s="29"/>
    </row>
    <row r="50" spans="1:15" ht="14.25" customHeight="1">
      <c r="A50" s="38" t="s">
        <v>26</v>
      </c>
      <c r="B50" s="67">
        <v>0.25</v>
      </c>
      <c r="C50" s="67">
        <v>0.25</v>
      </c>
      <c r="D50" s="67">
        <v>0.22</v>
      </c>
      <c r="E50" s="67">
        <v>0.25</v>
      </c>
      <c r="F50" s="68">
        <v>0.25</v>
      </c>
      <c r="G50" s="68">
        <v>0.25</v>
      </c>
      <c r="H50" s="68">
        <v>0.25</v>
      </c>
      <c r="I50" s="68">
        <v>0.25</v>
      </c>
      <c r="J50" s="87">
        <v>0.26250000000000001</v>
      </c>
      <c r="K50" s="87">
        <v>0.26900000000000002</v>
      </c>
      <c r="L50" s="87">
        <f>K50</f>
        <v>0.26900000000000002</v>
      </c>
      <c r="M50" s="146">
        <f>L50</f>
        <v>0.26900000000000002</v>
      </c>
      <c r="N50" s="29"/>
      <c r="O50" s="29"/>
    </row>
    <row r="51" spans="1:15" ht="14.25" customHeight="1">
      <c r="A51" s="38"/>
      <c r="B51" s="29"/>
      <c r="C51" s="29"/>
      <c r="D51" s="29"/>
      <c r="E51" s="29"/>
      <c r="F51" s="32"/>
      <c r="G51" s="32"/>
      <c r="H51" s="29"/>
      <c r="I51" s="29"/>
      <c r="J51" s="85"/>
      <c r="K51" s="85"/>
      <c r="L51" s="85"/>
      <c r="M51" s="144"/>
      <c r="N51" s="29"/>
      <c r="O51" s="29"/>
    </row>
    <row r="52" spans="1:15" ht="14.25" customHeight="1">
      <c r="A52" s="39" t="s">
        <v>0</v>
      </c>
      <c r="B52" s="60">
        <v>2012</v>
      </c>
      <c r="C52" s="60">
        <v>2013</v>
      </c>
      <c r="D52" s="60">
        <v>2014</v>
      </c>
      <c r="E52" s="60">
        <v>2015</v>
      </c>
      <c r="F52" s="60">
        <v>2016</v>
      </c>
      <c r="G52" s="60">
        <v>2017</v>
      </c>
      <c r="H52" s="60">
        <v>2018</v>
      </c>
      <c r="I52" s="60">
        <v>2019</v>
      </c>
      <c r="J52" s="83">
        <v>2020</v>
      </c>
      <c r="K52" s="83">
        <v>2021</v>
      </c>
      <c r="L52" s="83">
        <v>2022</v>
      </c>
      <c r="M52" s="144">
        <v>2023</v>
      </c>
      <c r="N52" s="60">
        <v>2024</v>
      </c>
      <c r="O52" s="60">
        <v>2025</v>
      </c>
    </row>
    <row r="53" spans="1:15" ht="14.25" customHeight="1">
      <c r="A53" s="38" t="s">
        <v>41</v>
      </c>
      <c r="B53" s="29">
        <v>200000</v>
      </c>
      <c r="C53" s="29">
        <v>200000</v>
      </c>
      <c r="D53" s="29">
        <v>200000</v>
      </c>
      <c r="E53" s="29">
        <v>200000</v>
      </c>
      <c r="F53" s="29">
        <v>200000</v>
      </c>
      <c r="G53" s="29">
        <v>200000</v>
      </c>
      <c r="H53" s="29">
        <v>200000</v>
      </c>
      <c r="I53" s="29">
        <v>200000</v>
      </c>
      <c r="J53" s="85">
        <v>200000</v>
      </c>
      <c r="K53" s="85">
        <v>245000</v>
      </c>
      <c r="L53" s="85">
        <v>395000</v>
      </c>
      <c r="M53" s="144">
        <v>395000</v>
      </c>
      <c r="N53" s="29"/>
      <c r="O53" s="29"/>
    </row>
    <row r="54" spans="1:15" ht="14.25" customHeight="1">
      <c r="A54" s="38" t="s">
        <v>42</v>
      </c>
      <c r="B54" s="67">
        <v>0.2</v>
      </c>
      <c r="C54" s="67">
        <v>0.2</v>
      </c>
      <c r="D54" s="67">
        <v>0.2</v>
      </c>
      <c r="E54" s="67">
        <v>0.2</v>
      </c>
      <c r="F54" s="67">
        <v>0.2</v>
      </c>
      <c r="G54" s="67">
        <v>0.2</v>
      </c>
      <c r="H54" s="67">
        <v>0.2</v>
      </c>
      <c r="I54" s="79">
        <v>0.19</v>
      </c>
      <c r="J54" s="88">
        <v>0.16500000000000001</v>
      </c>
      <c r="K54" s="88">
        <v>0.15</v>
      </c>
      <c r="L54" s="134">
        <v>0.15</v>
      </c>
      <c r="M54" s="152">
        <v>0.15</v>
      </c>
      <c r="N54" s="67"/>
      <c r="O54" s="67"/>
    </row>
    <row r="55" spans="1:15" ht="14.25" customHeight="1">
      <c r="A55" s="38" t="s">
        <v>43</v>
      </c>
      <c r="B55" s="67">
        <v>0.25</v>
      </c>
      <c r="C55" s="67">
        <v>0.25</v>
      </c>
      <c r="D55" s="67">
        <v>0.25</v>
      </c>
      <c r="E55" s="67">
        <v>0.25</v>
      </c>
      <c r="F55" s="67">
        <v>0.25</v>
      </c>
      <c r="G55" s="67">
        <v>0.25</v>
      </c>
      <c r="H55" s="67">
        <v>0.25</v>
      </c>
      <c r="I55" s="79">
        <v>0.25</v>
      </c>
      <c r="J55" s="88">
        <v>0.25</v>
      </c>
      <c r="K55" s="88">
        <v>0.25</v>
      </c>
      <c r="L55" s="88">
        <v>0.25800000000000001</v>
      </c>
      <c r="M55" s="147">
        <v>0.25800000000000001</v>
      </c>
      <c r="N55" s="67"/>
      <c r="O55" s="67"/>
    </row>
    <row r="56" spans="1:15" ht="14.25" customHeight="1">
      <c r="A56" s="38"/>
      <c r="B56" s="29"/>
      <c r="C56" s="29"/>
      <c r="D56" s="29"/>
      <c r="E56" s="29"/>
      <c r="F56" s="32"/>
      <c r="G56" s="32"/>
      <c r="H56" s="29"/>
      <c r="I56" s="29"/>
      <c r="J56" s="85"/>
      <c r="K56" s="85"/>
      <c r="L56" s="85"/>
      <c r="M56" s="144"/>
      <c r="N56" s="29"/>
      <c r="O56" s="29"/>
    </row>
    <row r="57" spans="1:15" ht="14.25" customHeight="1">
      <c r="A57" s="40" t="s">
        <v>44</v>
      </c>
      <c r="B57" s="69">
        <f>IF(B$44=TRUE,934,2001)</f>
        <v>2001</v>
      </c>
      <c r="C57" s="69">
        <f>IF(C$44=TRUE,1034,2033)</f>
        <v>2033</v>
      </c>
      <c r="D57" s="69">
        <f>IF(D$44=TRUE,1065,2103)</f>
        <v>2103</v>
      </c>
      <c r="E57" s="69">
        <f>IF(E$44=TRUE,1123,2203)</f>
        <v>2203</v>
      </c>
      <c r="F57" s="69">
        <f>IF(F$44=TRUE,1145,2242)</f>
        <v>2242</v>
      </c>
      <c r="G57" s="69">
        <f>IF(G$44=TRUE,1151,2254)</f>
        <v>2254</v>
      </c>
      <c r="H57" s="69">
        <f>IF(H$44=TRUE,1157,2265)</f>
        <v>2265</v>
      </c>
      <c r="I57" s="69">
        <f>IF(I44=TRUE,1268,2477)</f>
        <v>2477</v>
      </c>
      <c r="J57" s="89">
        <f>IF(J44=TRUE,1413,2711)</f>
        <v>2711</v>
      </c>
      <c r="K57" s="89">
        <f>IF(K44=TRUE,1453,2837)</f>
        <v>2837</v>
      </c>
      <c r="L57" s="89">
        <f>IF(L44=TRUE,1494,2888)</f>
        <v>2888</v>
      </c>
      <c r="M57" s="148">
        <f>IF(M44=TRUE,1494,2888)</f>
        <v>2888</v>
      </c>
      <c r="N57" s="70"/>
      <c r="O57" s="70"/>
    </row>
    <row r="58" spans="1:15" ht="14.25" customHeight="1">
      <c r="A58" s="44" t="s">
        <v>45</v>
      </c>
      <c r="B58" s="71">
        <v>0</v>
      </c>
      <c r="C58" s="71">
        <v>0</v>
      </c>
      <c r="D58" s="72">
        <f>IF(D$44=TRUE,2%,2%)</f>
        <v>0.02</v>
      </c>
      <c r="E58" s="72">
        <f>IF(E$44=TRUE,1.183%,2.32%)</f>
        <v>2.3199999999999998E-2</v>
      </c>
      <c r="F58" s="72">
        <f>IF(F$44=TRUE,2.46%,4.822%)</f>
        <v>4.8219999999999999E-2</v>
      </c>
      <c r="G58" s="72">
        <f>IF(G$44=TRUE,2.443%,4.787%)</f>
        <v>4.7869999999999996E-2</v>
      </c>
      <c r="H58" s="72">
        <f>IF(H$44=TRUE,2.389%,4.683%)</f>
        <v>4.6829999999999997E-2</v>
      </c>
      <c r="I58" s="72">
        <f>IF(I44=TRUE,2.633%,5.147%)</f>
        <v>5.1470000000000002E-2</v>
      </c>
      <c r="J58" s="90">
        <f>IF(J44=TRUE,2.954%,5.672%)</f>
        <v>5.672E-2</v>
      </c>
      <c r="K58" s="90">
        <f>IF(K44=TRUE,3.054%,5.888%)</f>
        <v>5.8880000000000002E-2</v>
      </c>
      <c r="L58" s="90">
        <f>IF(L44=TRUE,3.106%,6.007%)</f>
        <v>6.0069999999999998E-2</v>
      </c>
      <c r="M58" s="149">
        <f>IF(M44=TRUE,3.106%,6.007%)</f>
        <v>6.0069999999999998E-2</v>
      </c>
      <c r="N58" s="54"/>
      <c r="O58" s="54"/>
    </row>
    <row r="59" spans="1:15" ht="14.25" customHeight="1">
      <c r="A59" s="44" t="s">
        <v>46</v>
      </c>
      <c r="B59" s="73">
        <f>B57</f>
        <v>2001</v>
      </c>
      <c r="C59" s="73">
        <f>C57</f>
        <v>2033</v>
      </c>
      <c r="D59" s="74">
        <f>IF(D$44=TRUE,693,1366)</f>
        <v>1366</v>
      </c>
      <c r="E59" s="74">
        <f>IF(E$44=TRUE,685,1342)</f>
        <v>1342</v>
      </c>
      <c r="F59" s="74">
        <v>0</v>
      </c>
      <c r="G59" s="74">
        <v>0</v>
      </c>
      <c r="H59" s="74">
        <v>0</v>
      </c>
      <c r="I59" s="74">
        <v>0</v>
      </c>
      <c r="J59" s="91">
        <v>0</v>
      </c>
      <c r="K59" s="91">
        <v>0</v>
      </c>
      <c r="L59" s="92">
        <v>0</v>
      </c>
      <c r="M59" s="150">
        <v>0</v>
      </c>
      <c r="N59" s="73"/>
      <c r="O59" s="73"/>
    </row>
    <row r="60" spans="1:15" ht="14.25" customHeight="1">
      <c r="A60" s="44"/>
      <c r="B60" s="54"/>
      <c r="C60" s="45"/>
      <c r="D60" s="56"/>
      <c r="E60" s="47"/>
      <c r="F60" s="47"/>
      <c r="G60" s="32"/>
      <c r="H60" s="45"/>
      <c r="I60" s="45"/>
      <c r="J60" s="85"/>
      <c r="K60" s="87"/>
      <c r="L60" s="85"/>
      <c r="M60" s="144"/>
      <c r="N60" s="47"/>
      <c r="O60" s="47"/>
    </row>
    <row r="61" spans="1:15" ht="14.25" customHeight="1">
      <c r="A61" s="40" t="s">
        <v>47</v>
      </c>
      <c r="B61" s="60">
        <v>2012</v>
      </c>
      <c r="C61" s="60">
        <v>2013</v>
      </c>
      <c r="D61" s="60">
        <v>2014</v>
      </c>
      <c r="E61" s="60">
        <v>2015</v>
      </c>
      <c r="F61" s="60">
        <v>2016</v>
      </c>
      <c r="G61" s="60">
        <v>2017</v>
      </c>
      <c r="H61" s="60">
        <v>2018</v>
      </c>
      <c r="I61" s="60">
        <v>2019</v>
      </c>
      <c r="J61" s="83">
        <v>2020</v>
      </c>
      <c r="K61" s="83">
        <v>2021</v>
      </c>
      <c r="L61" s="83">
        <v>2022</v>
      </c>
      <c r="M61" s="144">
        <v>2023</v>
      </c>
      <c r="N61" s="60">
        <v>2024</v>
      </c>
      <c r="O61" s="60">
        <v>2025</v>
      </c>
    </row>
    <row r="62" spans="1:15" ht="14.25" customHeight="1">
      <c r="A62" s="44" t="s">
        <v>22</v>
      </c>
      <c r="B62" s="73">
        <v>9295</v>
      </c>
      <c r="C62" s="73">
        <v>8816</v>
      </c>
      <c r="D62" s="73">
        <v>8913</v>
      </c>
      <c r="E62" s="75">
        <v>9010</v>
      </c>
      <c r="F62" s="75">
        <v>9147</v>
      </c>
      <c r="G62" s="76">
        <v>9309</v>
      </c>
      <c r="H62" s="73">
        <v>9468</v>
      </c>
      <c r="I62" s="73">
        <v>9694</v>
      </c>
      <c r="J62" s="77">
        <v>9921</v>
      </c>
      <c r="K62" s="77">
        <v>10108</v>
      </c>
      <c r="L62" s="92">
        <v>10350</v>
      </c>
      <c r="M62" s="150">
        <v>10350</v>
      </c>
      <c r="N62" s="75"/>
      <c r="O62" s="75"/>
    </row>
    <row r="63" spans="1:15" ht="14.25" customHeight="1">
      <c r="A63" s="44" t="s">
        <v>23</v>
      </c>
      <c r="B63" s="77">
        <v>21059</v>
      </c>
      <c r="C63" s="77">
        <v>18502</v>
      </c>
      <c r="D63" s="77">
        <v>19248</v>
      </c>
      <c r="E63" s="77">
        <v>19463</v>
      </c>
      <c r="F63" s="76">
        <v>19758</v>
      </c>
      <c r="G63" s="76">
        <v>20108</v>
      </c>
      <c r="H63" s="77">
        <v>20450</v>
      </c>
      <c r="I63" s="77">
        <v>20940</v>
      </c>
      <c r="J63" s="92">
        <v>21430</v>
      </c>
      <c r="K63" s="77">
        <v>21835</v>
      </c>
      <c r="L63" s="92">
        <v>22356</v>
      </c>
      <c r="M63" s="150">
        <v>22356</v>
      </c>
      <c r="N63" s="77"/>
      <c r="O63" s="77"/>
    </row>
    <row r="64" spans="1:15" ht="14.25" customHeight="1">
      <c r="A64" s="44" t="s">
        <v>24</v>
      </c>
      <c r="B64" s="69">
        <v>45181</v>
      </c>
      <c r="C64" s="69">
        <v>40248</v>
      </c>
      <c r="D64" s="69">
        <v>40721</v>
      </c>
      <c r="E64" s="70">
        <v>49770</v>
      </c>
      <c r="F64" s="70">
        <v>34015</v>
      </c>
      <c r="G64" s="76">
        <v>32444</v>
      </c>
      <c r="H64" s="69">
        <v>33112</v>
      </c>
      <c r="I64" s="69">
        <v>34060</v>
      </c>
      <c r="J64" s="89">
        <v>34954</v>
      </c>
      <c r="K64" s="117">
        <v>35652</v>
      </c>
      <c r="L64" s="89">
        <v>36649</v>
      </c>
      <c r="M64" s="148">
        <v>36649</v>
      </c>
      <c r="N64" s="70"/>
      <c r="O64" s="70"/>
    </row>
    <row r="65" spans="1:15" ht="14.25" customHeight="1">
      <c r="A65" s="44" t="s">
        <v>25</v>
      </c>
      <c r="B65" s="73">
        <v>514.17999999999995</v>
      </c>
      <c r="C65" s="73">
        <v>69573</v>
      </c>
      <c r="D65" s="73">
        <v>83971</v>
      </c>
      <c r="E65" s="73">
        <v>100670</v>
      </c>
      <c r="F65" s="73">
        <v>111590</v>
      </c>
      <c r="G65" s="76">
        <v>121972</v>
      </c>
      <c r="H65" s="73">
        <v>123362</v>
      </c>
      <c r="I65" s="73">
        <v>90710</v>
      </c>
      <c r="J65" s="77">
        <f>(J72/J70)+J64</f>
        <v>98604</v>
      </c>
      <c r="K65" s="77">
        <f>(K72/K70)+K64</f>
        <v>105735.33333333334</v>
      </c>
      <c r="L65" s="92">
        <f>(L72/L70)+L64</f>
        <v>109345.24573378838</v>
      </c>
      <c r="M65" s="150">
        <f>(M72/M70)+M64</f>
        <v>109345.24573378838</v>
      </c>
      <c r="N65" s="73"/>
      <c r="O65" s="73"/>
    </row>
    <row r="66" spans="1:15" ht="14.25" customHeight="1">
      <c r="A66" s="44"/>
      <c r="B66" s="45"/>
      <c r="C66" s="45"/>
      <c r="D66" s="54"/>
      <c r="E66" s="45"/>
      <c r="F66" s="56"/>
      <c r="G66" s="47"/>
      <c r="H66" s="47"/>
      <c r="I66" s="29"/>
      <c r="J66" s="85"/>
      <c r="K66" s="85"/>
      <c r="L66" s="85"/>
      <c r="M66" s="144"/>
      <c r="N66" s="45"/>
      <c r="O66" s="56"/>
    </row>
    <row r="67" spans="1:15" ht="14.25" customHeight="1">
      <c r="A67" s="44" t="s">
        <v>37</v>
      </c>
      <c r="B67" s="45">
        <f>IF(B$44=TRUE,0.796%,1.733%)</f>
        <v>1.7330000000000002E-2</v>
      </c>
      <c r="C67" s="45">
        <f>IF(C$44=TRUE,0.943%,1.827%)</f>
        <v>1.8269999999999998E-2</v>
      </c>
      <c r="D67" s="45">
        <f>IF(D$44=TRUE,0.915%,1.807%)</f>
        <v>1.8069999999999999E-2</v>
      </c>
      <c r="E67" s="45">
        <f>IF(E$44=TRUE,0.922%,1.81%)</f>
        <v>1.8100000000000002E-2</v>
      </c>
      <c r="F67" s="45">
        <f>IF(F$44=TRUE,0.915%,1.793%)</f>
        <v>1.7929999999999998E-2</v>
      </c>
      <c r="G67" s="45">
        <f>IF(G$44=TRUE,0.904%,1.772%)</f>
        <v>1.772E-2</v>
      </c>
      <c r="H67" s="45">
        <f>IF(H$44=TRUE,0.901%,1.764%)</f>
        <v>1.7639999999999999E-2</v>
      </c>
      <c r="I67" s="45">
        <f>IF(I44=TRUE,0.898%,1.754%)</f>
        <v>1.754E-2</v>
      </c>
      <c r="J67" s="29">
        <f>IF(J44=TRUE,1.464%,2.812%)</f>
        <v>2.8119999999999999E-2</v>
      </c>
      <c r="K67" s="29">
        <f>IF(K44=TRUE,2.371%,4.581%)</f>
        <v>4.5810000000000003E-2</v>
      </c>
      <c r="L67" s="85">
        <f>IF(L44=TRUE,2.348%,4.541%)</f>
        <v>4.5410000000000006E-2</v>
      </c>
      <c r="M67" s="144">
        <f>IF(M44=TRUE,2.348%,4.541%)</f>
        <v>4.5410000000000006E-2</v>
      </c>
      <c r="N67" s="45"/>
      <c r="O67" s="56"/>
    </row>
    <row r="68" spans="1:15" ht="14.25" customHeight="1">
      <c r="A68" s="44" t="s">
        <v>38</v>
      </c>
      <c r="B68" s="45">
        <f>IF(B$44=TRUE,5.657%,12.32%)</f>
        <v>0.1232</v>
      </c>
      <c r="C68" s="45">
        <f>IF(C$44=TRUE,8.319%,16.115%)</f>
        <v>0.16114999999999999</v>
      </c>
      <c r="D68" s="45">
        <f>IF(D$44=TRUE,9.479%,18.724%)</f>
        <v>0.18723999999999999</v>
      </c>
      <c r="E68" s="45">
        <f>IF(E$44=TRUE,10.028%,19.679%)</f>
        <v>0.19678999999999999</v>
      </c>
      <c r="F68" s="45">
        <f>IF(F$44=TRUE,14.133%,27.698%)</f>
        <v>0.27698</v>
      </c>
      <c r="G68" s="45">
        <f>IF(G$44=TRUE,14.449%,28.317%)</f>
        <v>0.28316999999999998</v>
      </c>
      <c r="H68" s="45">
        <f>IF(H$44=TRUE,14.32%,28.064%)</f>
        <v>0.28064</v>
      </c>
      <c r="I68" s="45">
        <f>IF(I44=TRUE,14.689%,28.712%)</f>
        <v>0.28711999999999999</v>
      </c>
      <c r="J68" s="29">
        <f>IF(J44=TRUE,15.004%,28.812%)</f>
        <v>0.28811999999999999</v>
      </c>
      <c r="K68" s="29">
        <f>IF(K44=TRUE,14.89%,28.771%)</f>
        <v>0.28771000000000002</v>
      </c>
      <c r="L68" s="85">
        <f>IF(L44=TRUE,14.718%,28.461%)</f>
        <v>0.28460999999999997</v>
      </c>
      <c r="M68" s="144">
        <f>IF(M44=TRUE,14.718%,28.461%)</f>
        <v>0.28460999999999997</v>
      </c>
      <c r="N68" s="45"/>
      <c r="O68" s="56"/>
    </row>
    <row r="69" spans="1:15" ht="14.25" customHeight="1">
      <c r="A69" s="44" t="s">
        <v>39</v>
      </c>
      <c r="B69" s="45">
        <v>0</v>
      </c>
      <c r="C69" s="45">
        <v>0</v>
      </c>
      <c r="D69" s="45">
        <v>0</v>
      </c>
      <c r="E69" s="45">
        <v>0</v>
      </c>
      <c r="F69" s="45">
        <v>0</v>
      </c>
      <c r="G69" s="45">
        <v>0</v>
      </c>
      <c r="H69" s="45">
        <v>0</v>
      </c>
      <c r="I69" s="45">
        <v>0</v>
      </c>
      <c r="J69" s="29">
        <f>IF(J44=TRUE,0.862%,1.656%)</f>
        <v>1.6559999999999998E-2</v>
      </c>
      <c r="K69" s="29">
        <f>IF(K44=TRUE,1.378%,2.663%)</f>
        <v>2.6629999999999997E-2</v>
      </c>
      <c r="L69" s="85">
        <f>IF(L44=TRUE,1.349%,2.61%)</f>
        <v>2.6099999999999998E-2</v>
      </c>
      <c r="M69" s="144">
        <f>IF(M44=TRUE,1.349%,2.61%)</f>
        <v>2.6099999999999998E-2</v>
      </c>
      <c r="N69" s="45"/>
      <c r="O69" s="45"/>
    </row>
    <row r="70" spans="1:15" ht="14.25" customHeight="1">
      <c r="A70" s="44" t="s">
        <v>40</v>
      </c>
      <c r="B70" s="45">
        <f>IF(B$44=TRUE,0.574%,1.25%)</f>
        <v>1.2500000000000001E-2</v>
      </c>
      <c r="C70" s="45">
        <f>IF(C$44=TRUE,2.064%,4%)</f>
        <v>0.04</v>
      </c>
      <c r="D70" s="45">
        <f>IF(D$44=TRUE,2.025%,4%)</f>
        <v>0.04</v>
      </c>
      <c r="E70" s="45">
        <f>IF(E$44=TRUE,2.038%,4%)</f>
        <v>0.04</v>
      </c>
      <c r="F70" s="45">
        <f>IF(F$44=TRUE,2.041%,4%)</f>
        <v>0.04</v>
      </c>
      <c r="G70" s="45">
        <f>IF(G$44=TRUE,1.837%,3.6%)</f>
        <v>3.6000000000000004E-2</v>
      </c>
      <c r="H70" s="45">
        <f>IF(H$44=TRUE,1.837%,3.6%)</f>
        <v>3.6000000000000004E-2</v>
      </c>
      <c r="I70" s="45">
        <f>IF(I44=TRUE,3.069%,6%)</f>
        <v>0.06</v>
      </c>
      <c r="J70" s="29">
        <f>IF(J44=TRUE,3.124%,6%)</f>
        <v>0.06</v>
      </c>
      <c r="K70" s="29">
        <f>IF(K44=TRUE,3.105%,6%)</f>
        <v>0.06</v>
      </c>
      <c r="L70" s="85">
        <f>IF(L44=TRUE,3.03%,5.86%)</f>
        <v>5.8600000000000006E-2</v>
      </c>
      <c r="M70" s="144">
        <f>IF(M44=TRUE,3.03%,5.86%)</f>
        <v>5.8600000000000006E-2</v>
      </c>
      <c r="N70" s="29"/>
      <c r="O70" s="29"/>
    </row>
    <row r="71" spans="1:15" ht="14.25" customHeight="1">
      <c r="A71" s="40"/>
      <c r="B71" s="41"/>
      <c r="C71" s="41"/>
      <c r="D71" s="41"/>
      <c r="E71" s="41"/>
      <c r="F71" s="41"/>
      <c r="G71" s="42"/>
      <c r="H71" s="42"/>
      <c r="I71" s="29"/>
      <c r="J71" s="93"/>
      <c r="K71" s="93"/>
      <c r="L71" s="93"/>
      <c r="M71" s="151"/>
      <c r="N71" s="41"/>
      <c r="O71" s="41"/>
    </row>
    <row r="72" spans="1:15" ht="14.25" customHeight="1">
      <c r="A72" s="44" t="s">
        <v>48</v>
      </c>
      <c r="B72" s="45">
        <f>IF(B$44=TRUE,740,1611)</f>
        <v>1611</v>
      </c>
      <c r="C72" s="45">
        <f>IF(C$44=TRUE,890,1723)</f>
        <v>1723</v>
      </c>
      <c r="D72" s="45">
        <f>IF(D$44=TRUE,1062,2097)</f>
        <v>2097</v>
      </c>
      <c r="E72" s="45">
        <f>IF(E$44=TRUE,1132,2220)</f>
        <v>2220</v>
      </c>
      <c r="F72" s="45">
        <f>IF(F$44=TRUE,1585,3103)</f>
        <v>3103</v>
      </c>
      <c r="G72" s="45">
        <f>IF(G$44=TRUE,1645,3223)</f>
        <v>3223</v>
      </c>
      <c r="H72" s="45">
        <f>IF(H$44=TRUE,1659,3249)</f>
        <v>3249</v>
      </c>
      <c r="I72" s="45">
        <f>IF(I44=TRUE,1745,3399)</f>
        <v>3399</v>
      </c>
      <c r="J72" s="85">
        <f>IF(J44=TRUE,1989,3819)</f>
        <v>3819</v>
      </c>
      <c r="K72" s="85">
        <f>IF(K44=TRUE,2178,4205)</f>
        <v>4205</v>
      </c>
      <c r="L72" s="85">
        <f>IF(L44=TRUE,2204,4260)</f>
        <v>4260</v>
      </c>
      <c r="M72" s="144">
        <f>IF(M44=TRUE,2204,4260)</f>
        <v>4260</v>
      </c>
      <c r="N72" s="45"/>
      <c r="O72" s="56"/>
    </row>
    <row r="73" spans="1:15" ht="14.25" customHeight="1">
      <c r="A73" s="44" t="s">
        <v>49</v>
      </c>
      <c r="B73" s="45">
        <f>IF(B$44=TRUE,704,740)</f>
        <v>740</v>
      </c>
      <c r="C73" s="45">
        <f>IF(C$44=TRUE,284,550)</f>
        <v>550</v>
      </c>
      <c r="D73" s="45">
        <f>IF(D$44=TRUE,186,367)</f>
        <v>367</v>
      </c>
      <c r="E73" s="45">
        <f>IF(E$44=TRUE,94,184)</f>
        <v>184</v>
      </c>
      <c r="F73" s="45">
        <v>0</v>
      </c>
      <c r="G73" s="45">
        <v>0</v>
      </c>
      <c r="H73" s="45">
        <v>0</v>
      </c>
      <c r="I73" s="29">
        <v>0</v>
      </c>
      <c r="J73" s="85">
        <v>0</v>
      </c>
      <c r="K73" s="85">
        <v>0</v>
      </c>
      <c r="L73" s="85">
        <v>0</v>
      </c>
      <c r="M73" s="144">
        <v>0</v>
      </c>
      <c r="N73" s="45"/>
      <c r="O73" s="56"/>
    </row>
    <row r="74" spans="1:15" ht="14.25" customHeight="1">
      <c r="J74" s="85"/>
      <c r="K74" s="85"/>
      <c r="L74" s="85"/>
    </row>
    <row r="75" spans="1:15" ht="14.25" customHeight="1">
      <c r="J75" s="46"/>
      <c r="K75" s="46"/>
      <c r="L75" s="135">
        <v>9.5000000000000001E-2</v>
      </c>
    </row>
    <row r="76" spans="1:15" ht="14.25" customHeight="1">
      <c r="A76" s="44" t="s">
        <v>50</v>
      </c>
      <c r="B76" s="45"/>
      <c r="C76" s="45"/>
      <c r="D76" s="47"/>
      <c r="E76" s="45"/>
      <c r="F76" s="56"/>
      <c r="G76" s="47"/>
      <c r="H76" s="47"/>
      <c r="I76" s="29"/>
      <c r="J76" s="46">
        <v>3.5000000000000003E-2</v>
      </c>
      <c r="K76" s="46">
        <v>6.5000000000000002E-2</v>
      </c>
      <c r="L76" s="135">
        <v>9.5000000000000001E-2</v>
      </c>
      <c r="M76" s="54">
        <f>M48-M45</f>
        <v>0.12429999999999997</v>
      </c>
      <c r="N76" s="45"/>
      <c r="O76" s="56"/>
    </row>
    <row r="77" spans="1:15" ht="14.25" customHeight="1">
      <c r="L77" s="135"/>
    </row>
    <row r="78" spans="1:15" ht="14.25" customHeight="1">
      <c r="L78" s="83"/>
    </row>
    <row r="79" spans="1:15" ht="14.25" customHeight="1">
      <c r="L79" s="85"/>
    </row>
    <row r="80" spans="1:15" ht="14.25" customHeight="1">
      <c r="L80" s="85"/>
    </row>
    <row r="81" spans="12:12" ht="14.25" customHeight="1">
      <c r="L81" s="136"/>
    </row>
    <row r="82" spans="12:12" ht="14.25" customHeight="1">
      <c r="L82" s="85"/>
    </row>
    <row r="83" spans="12:12" ht="14.25" customHeight="1">
      <c r="L83" s="85"/>
    </row>
    <row r="84" spans="12:12" ht="14.25" customHeight="1">
      <c r="L84" s="85"/>
    </row>
    <row r="85" spans="12:12" ht="14.25" customHeight="1">
      <c r="L85" s="83"/>
    </row>
    <row r="86" spans="12:12" ht="14.25" customHeight="1">
      <c r="L86" s="87"/>
    </row>
    <row r="87" spans="12:12" ht="14.25" customHeight="1">
      <c r="L87" s="87"/>
    </row>
    <row r="88" spans="12:12" ht="14.25" customHeight="1">
      <c r="L88" s="84"/>
    </row>
    <row r="89" spans="12:12" ht="14.25" customHeight="1">
      <c r="L89" s="85"/>
    </row>
    <row r="90" spans="12:12" ht="14.25" customHeight="1">
      <c r="L90" s="83"/>
    </row>
    <row r="91" spans="12:12" ht="14.25" customHeight="1">
      <c r="L91" s="137"/>
    </row>
    <row r="92" spans="12:12" ht="14.25" customHeight="1">
      <c r="L92" s="84"/>
    </row>
    <row r="93" spans="12:12" ht="14.25" customHeight="1">
      <c r="L93" s="85"/>
    </row>
    <row r="94" spans="12:12" ht="14.25" customHeight="1">
      <c r="L94" s="83"/>
    </row>
    <row r="95" spans="12:12" ht="14.25" customHeight="1">
      <c r="L95" s="85"/>
    </row>
    <row r="96" spans="12:12" ht="14.25" customHeight="1">
      <c r="L96" s="85"/>
    </row>
    <row r="97" spans="12:12" ht="14.25" customHeight="1">
      <c r="L97" s="85"/>
    </row>
    <row r="98" spans="12:12" ht="14.25" customHeight="1">
      <c r="L98" s="85"/>
    </row>
    <row r="99" spans="12:12" ht="14.25" customHeight="1">
      <c r="L99" s="83"/>
    </row>
    <row r="100" spans="12:12" ht="14.25" customHeight="1">
      <c r="L100" s="134"/>
    </row>
    <row r="101" spans="12:12" ht="14.25" customHeight="1">
      <c r="L101" s="85"/>
    </row>
    <row r="102" spans="12:12" ht="14.25" customHeight="1">
      <c r="L102" s="83"/>
    </row>
    <row r="103" spans="12:12" ht="14.25" customHeight="1">
      <c r="L103" s="138"/>
    </row>
    <row r="104" spans="12:12" ht="14.25" customHeight="1">
      <c r="L104" s="87"/>
    </row>
    <row r="105" spans="12:12" ht="14.25" customHeight="1">
      <c r="L105" s="139"/>
    </row>
    <row r="106" spans="12:12" ht="14.25" customHeight="1">
      <c r="L106" s="139"/>
    </row>
    <row r="107" spans="12:12" ht="14.25" customHeight="1">
      <c r="L107" s="139"/>
    </row>
    <row r="108" spans="12:12" ht="14.25" customHeight="1">
      <c r="L108" s="139"/>
    </row>
    <row r="109" spans="12:12" ht="14.25" customHeight="1">
      <c r="L109" s="87"/>
    </row>
    <row r="110" spans="12:12" ht="14.25" customHeight="1">
      <c r="L110" s="85"/>
    </row>
    <row r="111" spans="12:12" ht="14.25" customHeight="1">
      <c r="L111" s="83"/>
    </row>
    <row r="112" spans="12:12" ht="14.25" customHeight="1">
      <c r="L112" s="140"/>
    </row>
    <row r="113" spans="12:12" ht="14.25" customHeight="1">
      <c r="L113" s="85"/>
    </row>
    <row r="114" spans="12:12" ht="14.25" customHeight="1">
      <c r="L114" s="85"/>
    </row>
    <row r="115" spans="12:12" ht="14.25" customHeight="1">
      <c r="L115" s="141"/>
    </row>
    <row r="116" spans="12:12" ht="14.25" customHeight="1">
      <c r="L116" s="142"/>
    </row>
    <row r="117" spans="12:12" ht="14.25" customHeight="1">
      <c r="L117" s="87"/>
    </row>
    <row r="118" spans="12:12" ht="14.25" customHeight="1">
      <c r="L118" s="134"/>
    </row>
    <row r="119" spans="12:12" ht="14.25" customHeight="1">
      <c r="L119" s="134"/>
    </row>
    <row r="120" spans="12:12" ht="14.25" customHeight="1">
      <c r="L120" s="134"/>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showGridLines="0" showRowColHeaders="0" topLeftCell="A10" workbookViewId="0">
      <selection activeCell="D1" sqref="D1"/>
    </sheetView>
  </sheetViews>
  <sheetFormatPr defaultColWidth="0.140625" defaultRowHeight="21" customHeight="1"/>
  <cols>
    <col min="1" max="1" width="23.85546875" bestFit="1" customWidth="1"/>
    <col min="2" max="2" width="16.140625" bestFit="1" customWidth="1"/>
    <col min="3" max="3" width="9" bestFit="1" customWidth="1"/>
    <col min="4" max="4" width="19" bestFit="1" customWidth="1"/>
    <col min="5" max="6" width="10.7109375" bestFit="1" customWidth="1"/>
    <col min="7" max="8" width="9.140625" bestFit="1" customWidth="1"/>
    <col min="9" max="10" width="9" bestFit="1" customWidth="1"/>
    <col min="11" max="11" width="9.140625" bestFit="1" customWidth="1"/>
    <col min="12" max="13" width="9" bestFit="1" customWidth="1"/>
    <col min="14" max="15" width="8.42578125" bestFit="1" customWidth="1"/>
  </cols>
  <sheetData>
    <row r="1" spans="1:15" ht="21" customHeight="1">
      <c r="A1" s="28">
        <f>'1'!E2</f>
        <v>2022</v>
      </c>
      <c r="B1" s="29" t="s">
        <v>13</v>
      </c>
      <c r="C1" s="29"/>
      <c r="D1" s="30">
        <f ca="1">D12-D20-D28+D31</f>
        <v>-2888</v>
      </c>
      <c r="E1" s="29"/>
      <c r="F1" s="31"/>
      <c r="G1" s="32"/>
      <c r="H1" s="29"/>
      <c r="I1" s="33"/>
      <c r="J1" s="29"/>
      <c r="K1" s="29"/>
      <c r="L1" s="29"/>
      <c r="M1" s="29"/>
      <c r="N1" s="29"/>
      <c r="O1" s="29"/>
    </row>
    <row r="2" spans="1:15" ht="21" customHeight="1">
      <c r="A2" s="28">
        <f>'1'!D18</f>
        <v>0</v>
      </c>
      <c r="B2" s="29" t="s">
        <v>14</v>
      </c>
      <c r="C2" s="29"/>
      <c r="D2" s="30"/>
      <c r="E2" s="29"/>
      <c r="F2" s="32"/>
      <c r="G2" s="32"/>
      <c r="H2" s="29"/>
      <c r="I2" s="33"/>
      <c r="J2" s="29"/>
      <c r="K2" s="29"/>
      <c r="L2" s="29"/>
      <c r="M2" s="29"/>
      <c r="N2" s="29"/>
      <c r="O2" s="29"/>
    </row>
    <row r="3" spans="1:15" ht="21" customHeight="1">
      <c r="A3" s="34">
        <f>A2-'1'!D19-'1'!D41</f>
        <v>0</v>
      </c>
      <c r="B3" s="29" t="s">
        <v>15</v>
      </c>
      <c r="C3" s="29"/>
      <c r="D3" s="29"/>
      <c r="E3" s="29"/>
      <c r="F3" s="35"/>
      <c r="G3" s="29"/>
      <c r="H3" s="29"/>
      <c r="I3" s="29"/>
      <c r="J3" s="29"/>
      <c r="K3" s="29"/>
      <c r="L3" s="29"/>
      <c r="M3" s="29"/>
      <c r="N3" s="29"/>
      <c r="O3" s="29"/>
    </row>
    <row r="4" spans="1:15" ht="21" customHeight="1">
      <c r="A4" s="36">
        <v>36526</v>
      </c>
      <c r="B4" s="29" t="s">
        <v>16</v>
      </c>
      <c r="C4" s="29"/>
      <c r="D4" s="29"/>
      <c r="E4" s="29"/>
      <c r="F4" s="37"/>
      <c r="G4" s="29"/>
      <c r="H4" s="29"/>
      <c r="I4" s="29"/>
      <c r="J4" s="29"/>
      <c r="K4" s="29"/>
      <c r="L4" s="29"/>
      <c r="M4" s="29"/>
      <c r="N4" s="29"/>
      <c r="O4" s="29"/>
    </row>
    <row r="5" spans="1:15" ht="21" customHeight="1">
      <c r="A5" s="38"/>
      <c r="B5" s="29"/>
      <c r="C5" s="29"/>
      <c r="D5" s="29"/>
      <c r="E5" s="29"/>
      <c r="F5" s="31"/>
      <c r="G5" s="32"/>
      <c r="H5" s="29"/>
      <c r="I5" s="29"/>
      <c r="J5" s="29"/>
      <c r="K5" s="29"/>
      <c r="L5" s="29"/>
      <c r="M5" s="29"/>
      <c r="N5" s="29"/>
      <c r="O5" s="29"/>
    </row>
    <row r="6" spans="1:15" ht="21" customHeight="1">
      <c r="A6" s="39" t="s">
        <v>17</v>
      </c>
      <c r="B6" s="29"/>
      <c r="C6" s="29"/>
      <c r="D6" s="29"/>
      <c r="E6" s="29"/>
      <c r="F6" s="31"/>
      <c r="G6" s="32"/>
      <c r="H6" s="29"/>
      <c r="I6" s="29"/>
      <c r="J6" s="29"/>
      <c r="K6" s="29"/>
      <c r="L6" s="29"/>
      <c r="M6" s="29"/>
      <c r="N6" s="29"/>
      <c r="O6" s="29"/>
    </row>
    <row r="7" spans="1:15" ht="21" customHeight="1">
      <c r="A7" s="40" t="s">
        <v>18</v>
      </c>
      <c r="B7" s="41" t="s">
        <v>19</v>
      </c>
      <c r="C7" s="41" t="s">
        <v>20</v>
      </c>
      <c r="D7" s="42" t="s">
        <v>21</v>
      </c>
      <c r="E7" s="29"/>
      <c r="F7" s="43"/>
      <c r="G7" s="41"/>
      <c r="H7" s="41"/>
      <c r="I7" s="42"/>
      <c r="J7" s="29"/>
      <c r="K7" s="29"/>
      <c r="L7" s="29"/>
      <c r="M7" s="29"/>
      <c r="N7" s="29"/>
      <c r="O7" s="29"/>
    </row>
    <row r="8" spans="1:15" ht="21" customHeight="1">
      <c r="A8" s="44" t="s">
        <v>22</v>
      </c>
      <c r="B8" s="45">
        <f>LOOKUP($A$1,$B$37:$O$37,B38:O38)</f>
        <v>21317</v>
      </c>
      <c r="C8" s="46">
        <f ca="1">LOOKUP($A$1,$B$37:$O$37,B44:G44)</f>
        <v>0.37070000000000003</v>
      </c>
      <c r="D8" s="47">
        <f ca="1">IF($A$3&gt;$B8,$B8*$C8,$A$3*$C8)</f>
        <v>0</v>
      </c>
      <c r="E8" s="29"/>
      <c r="F8" s="48"/>
      <c r="G8" s="45"/>
      <c r="H8" s="46"/>
      <c r="I8" s="47"/>
      <c r="J8" s="29"/>
      <c r="K8" s="29"/>
      <c r="L8" s="29"/>
      <c r="M8" s="29"/>
      <c r="N8" s="29"/>
      <c r="O8" s="29"/>
    </row>
    <row r="9" spans="1:15" ht="21" customHeight="1">
      <c r="A9" s="44" t="s">
        <v>23</v>
      </c>
      <c r="B9" s="45">
        <f>LOOKUP($A$1,$B$37:$O$37,B39:O39)</f>
        <v>35427</v>
      </c>
      <c r="C9" s="46">
        <f ca="1">LOOKUP($A$1,$B$37:$O$37,B45:G45)</f>
        <v>0.37070000000000003</v>
      </c>
      <c r="D9" s="47">
        <f ca="1">MAX(IF($A$3&gt;$B9,($B9-$B8)*$C9,($A$3-$B8)*$C9),0)</f>
        <v>0</v>
      </c>
      <c r="E9" s="29"/>
      <c r="F9" s="48"/>
      <c r="G9" s="45"/>
      <c r="H9" s="46"/>
      <c r="I9" s="47"/>
      <c r="J9" s="29"/>
      <c r="K9" s="29"/>
      <c r="L9" s="29"/>
      <c r="M9" s="29"/>
      <c r="N9" s="29"/>
      <c r="O9" s="29"/>
    </row>
    <row r="10" spans="1:15" ht="21" customHeight="1">
      <c r="A10" s="44" t="s">
        <v>24</v>
      </c>
      <c r="B10" s="45">
        <f>LOOKUP($A$1,$B$37:$O$37,B40:O40)</f>
        <v>69398</v>
      </c>
      <c r="C10" s="46">
        <f ca="1">LOOKUP($A$1,$B$37:$O$37,B46:G46)</f>
        <v>0.37069999999999997</v>
      </c>
      <c r="D10" s="47">
        <f ca="1">MAX(IF($A$3&gt;$B10,($B10-$B9)*$C10,($A$3-$B9)*$C10),0)</f>
        <v>0</v>
      </c>
      <c r="E10" s="29"/>
      <c r="F10" s="48"/>
      <c r="G10" s="45"/>
      <c r="H10" s="46"/>
      <c r="I10" s="47"/>
      <c r="J10" s="29"/>
      <c r="K10" s="29"/>
      <c r="L10" s="29"/>
      <c r="M10" s="29"/>
      <c r="N10" s="29"/>
      <c r="O10" s="29"/>
    </row>
    <row r="11" spans="1:15" ht="21" customHeight="1">
      <c r="A11" s="44" t="s">
        <v>25</v>
      </c>
      <c r="B11" s="49">
        <v>1E+100</v>
      </c>
      <c r="C11" s="46">
        <f ca="1">LOOKUP($A$1,$B$37:$O$37,B47:G47)</f>
        <v>0.495</v>
      </c>
      <c r="D11" s="47">
        <f ca="1">MAX(IF($A$3&gt;$B11,($B11-$B10)*$C11,($A$3-$B10)*$C11),0)</f>
        <v>0</v>
      </c>
      <c r="E11" s="29"/>
      <c r="F11" s="48"/>
      <c r="G11" s="49"/>
      <c r="H11" s="46"/>
      <c r="I11" s="47"/>
      <c r="J11" s="29"/>
      <c r="K11" s="29"/>
      <c r="L11" s="29"/>
      <c r="M11" s="29"/>
      <c r="N11" s="29"/>
      <c r="O11" s="29"/>
    </row>
    <row r="12" spans="1:15" ht="21" customHeight="1">
      <c r="A12" s="44"/>
      <c r="B12" s="45"/>
      <c r="C12" s="45"/>
      <c r="D12" s="50">
        <f ca="1">ROUNDDOWN(SUM(D8:D11),0)</f>
        <v>0</v>
      </c>
      <c r="E12" s="29"/>
      <c r="F12" s="48"/>
      <c r="G12" s="45"/>
      <c r="H12" s="45"/>
      <c r="I12" s="51"/>
      <c r="J12" s="29"/>
      <c r="K12" s="29"/>
      <c r="L12" s="29"/>
      <c r="M12" s="29"/>
      <c r="N12" s="29"/>
      <c r="O12" s="29"/>
    </row>
    <row r="13" spans="1:15" ht="21" customHeight="1">
      <c r="A13" s="44"/>
      <c r="B13" s="45"/>
      <c r="C13" s="45"/>
      <c r="D13" s="51"/>
      <c r="E13" s="29"/>
      <c r="F13" s="44"/>
      <c r="G13" s="45"/>
      <c r="H13" s="45"/>
      <c r="I13" s="51"/>
      <c r="J13" s="29"/>
      <c r="K13" s="29"/>
      <c r="L13" s="29"/>
      <c r="M13" s="29"/>
      <c r="N13" s="29"/>
      <c r="O13" s="29"/>
    </row>
    <row r="14" spans="1:15" ht="21" customHeight="1">
      <c r="A14" s="40" t="s">
        <v>0</v>
      </c>
      <c r="B14" s="45"/>
      <c r="C14" s="45"/>
      <c r="D14" s="51"/>
      <c r="E14" s="29"/>
      <c r="F14" s="44"/>
      <c r="G14" s="45"/>
      <c r="H14" s="45"/>
      <c r="I14" s="51"/>
      <c r="J14" s="29"/>
      <c r="K14" s="29"/>
      <c r="L14" s="29"/>
      <c r="M14" s="29"/>
      <c r="N14" s="29"/>
      <c r="O14" s="29"/>
    </row>
    <row r="15" spans="1:15" ht="21" customHeight="1">
      <c r="A15" s="53">
        <f>'1'!D20-'1'!D60</f>
        <v>0</v>
      </c>
      <c r="B15" s="45">
        <f>LOOKUP(A1,B51:O51,B52:O52)</f>
        <v>395000</v>
      </c>
      <c r="C15" s="52">
        <f>LOOKUP(A1,B51:O51,B53:O53)</f>
        <v>0.15</v>
      </c>
      <c r="D15" s="50">
        <f>IF(A15&lt;B15,A15*C15,(B15*C15)+((A15-B15)*C16))</f>
        <v>0</v>
      </c>
      <c r="E15" s="29"/>
      <c r="F15" s="44"/>
      <c r="G15" s="45"/>
      <c r="H15" s="45"/>
      <c r="I15" s="51"/>
      <c r="J15" s="29"/>
      <c r="K15" s="29"/>
      <c r="L15" s="29"/>
      <c r="M15" s="29"/>
      <c r="N15" s="29"/>
      <c r="O15" s="29"/>
    </row>
    <row r="16" spans="1:15" ht="21" customHeight="1">
      <c r="A16" s="44"/>
      <c r="B16" s="45"/>
      <c r="C16" s="52">
        <f>LOOKUP(A1,B51:O51,B54:O54)</f>
        <v>0.25800000000000001</v>
      </c>
      <c r="D16" s="51"/>
      <c r="E16" s="29"/>
      <c r="F16" s="44"/>
      <c r="G16" s="45"/>
      <c r="H16" s="45"/>
      <c r="I16" s="51"/>
      <c r="J16" s="29"/>
      <c r="K16" s="29"/>
      <c r="L16" s="29"/>
      <c r="M16" s="29"/>
      <c r="N16" s="29"/>
      <c r="O16" s="29"/>
    </row>
    <row r="17" spans="1:15" ht="21" customHeight="1">
      <c r="A17" s="39" t="s">
        <v>27</v>
      </c>
      <c r="B17" s="29"/>
      <c r="C17" s="29"/>
      <c r="D17" s="29"/>
      <c r="E17" s="29"/>
      <c r="F17" s="38"/>
      <c r="G17" s="32"/>
      <c r="H17" s="29"/>
      <c r="I17" s="29"/>
      <c r="J17" s="29"/>
      <c r="K17" s="29"/>
      <c r="L17" s="29"/>
      <c r="M17" s="29"/>
      <c r="N17" s="29"/>
      <c r="O17" s="29"/>
    </row>
    <row r="18" spans="1:15" ht="21" customHeight="1">
      <c r="A18" s="40" t="s">
        <v>28</v>
      </c>
      <c r="B18" s="41">
        <f>LOOKUP(A1,B37:O37,B56:O56)</f>
        <v>2888</v>
      </c>
      <c r="C18" s="41"/>
      <c r="D18" s="42"/>
      <c r="E18" s="29"/>
      <c r="F18" s="40"/>
      <c r="G18" s="41"/>
      <c r="H18" s="41"/>
      <c r="I18" s="42"/>
      <c r="J18" s="29"/>
      <c r="K18" s="29"/>
      <c r="L18" s="29"/>
      <c r="M18" s="29"/>
      <c r="N18" s="29"/>
      <c r="O18" s="29"/>
    </row>
    <row r="19" spans="1:15" ht="21" customHeight="1">
      <c r="A19" s="44" t="s">
        <v>29</v>
      </c>
      <c r="B19" s="45">
        <f>LOOKUP(A1,B37:O37,B58:O58)</f>
        <v>0</v>
      </c>
      <c r="C19" s="45"/>
      <c r="D19" s="47"/>
      <c r="E19" s="29"/>
      <c r="F19" s="44"/>
      <c r="G19" s="45"/>
      <c r="H19" s="45"/>
      <c r="I19" s="47"/>
      <c r="J19" s="29"/>
      <c r="K19" s="29"/>
      <c r="L19" s="29"/>
      <c r="M19" s="29"/>
      <c r="N19" s="29"/>
      <c r="O19" s="29"/>
    </row>
    <row r="20" spans="1:15" ht="21" customHeight="1">
      <c r="A20" s="44" t="s">
        <v>30</v>
      </c>
      <c r="B20" s="45">
        <f>LOOKUP($A$1,$B$37:$O$37,B38:O38)</f>
        <v>21317</v>
      </c>
      <c r="C20" s="45">
        <f>LOOKUP($A$1,$B$37:$O$37,B57:O57)</f>
        <v>6.0069999999999998E-2</v>
      </c>
      <c r="D20" s="50">
        <f>MAX(IF(A3&gt;B20,B18-((A3-B20)*C20),B18),B19)</f>
        <v>2888</v>
      </c>
      <c r="E20" s="29"/>
      <c r="F20" s="44"/>
      <c r="G20" s="45"/>
      <c r="H20" s="45"/>
      <c r="I20" s="51"/>
      <c r="J20" s="29"/>
      <c r="K20" s="29"/>
      <c r="L20" s="29"/>
      <c r="M20" s="29"/>
      <c r="N20" s="29"/>
      <c r="O20" s="29"/>
    </row>
    <row r="21" spans="1:15" ht="21" customHeight="1">
      <c r="A21" s="44"/>
      <c r="B21" s="45"/>
      <c r="C21" s="45"/>
      <c r="D21" s="54"/>
      <c r="E21" s="45"/>
      <c r="F21" s="55"/>
      <c r="G21" s="47"/>
      <c r="H21" s="47"/>
      <c r="I21" s="29"/>
      <c r="J21" s="45"/>
      <c r="K21" s="45"/>
      <c r="L21" s="45"/>
      <c r="M21" s="54"/>
      <c r="N21" s="45"/>
      <c r="O21" s="56"/>
    </row>
    <row r="22" spans="1:15" ht="21" customHeight="1">
      <c r="A22" s="44"/>
      <c r="B22" s="45"/>
      <c r="C22" s="45"/>
      <c r="D22" s="54"/>
      <c r="E22" s="45"/>
      <c r="F22" s="55"/>
      <c r="G22" s="47"/>
      <c r="H22" s="47"/>
      <c r="I22" s="29"/>
      <c r="J22" s="45"/>
      <c r="K22" s="45"/>
      <c r="L22" s="45"/>
      <c r="M22" s="54"/>
      <c r="N22" s="45"/>
      <c r="O22" s="56"/>
    </row>
    <row r="23" spans="1:15" ht="21" customHeight="1">
      <c r="A23" s="40" t="s">
        <v>31</v>
      </c>
      <c r="B23" s="45"/>
      <c r="C23" s="45"/>
      <c r="D23" s="45"/>
      <c r="E23" s="45"/>
      <c r="F23" s="48"/>
      <c r="G23" s="45"/>
      <c r="H23" s="45"/>
      <c r="I23" s="45"/>
      <c r="J23" s="29"/>
      <c r="K23" s="45"/>
      <c r="L23" s="45"/>
      <c r="M23" s="45"/>
      <c r="N23" s="45"/>
      <c r="O23" s="45"/>
    </row>
    <row r="24" spans="1:15" ht="21" customHeight="1">
      <c r="A24" s="44" t="s">
        <v>22</v>
      </c>
      <c r="B24" s="29">
        <f>LOOKUP($A$1,$B$60:$O$60,B61:O61)</f>
        <v>10350</v>
      </c>
      <c r="C24" s="29">
        <f>LOOKUP($A$1,$B$60:$O$60,B66:O66)</f>
        <v>4.5410000000000006E-2</v>
      </c>
      <c r="D24" s="47">
        <f>IF($A$2&gt;$B24,$B24*$C24,$A$2*$C24)</f>
        <v>0</v>
      </c>
      <c r="E24" s="29"/>
      <c r="F24" s="48"/>
      <c r="G24" s="29"/>
      <c r="H24" s="29"/>
      <c r="I24" s="47"/>
      <c r="J24" s="29"/>
      <c r="K24" s="29"/>
      <c r="L24" s="29"/>
      <c r="M24" s="29"/>
      <c r="N24" s="29"/>
      <c r="O24" s="29"/>
    </row>
    <row r="25" spans="1:15" ht="21" customHeight="1">
      <c r="A25" s="44" t="s">
        <v>23</v>
      </c>
      <c r="B25" s="29">
        <f>LOOKUP($A$1,$B$60:$O$60,B62:O62)</f>
        <v>22356</v>
      </c>
      <c r="C25" s="29">
        <f>LOOKUP($A$1,$B$60:$O$60,B67:O67)</f>
        <v>0.28460999999999997</v>
      </c>
      <c r="D25" s="47">
        <f>MAX(IF($A$2&gt;$B25,($B25-$B24)*$C25,($A$2-$B24)*$C25),0)</f>
        <v>0</v>
      </c>
      <c r="E25" s="41"/>
      <c r="F25" s="48"/>
      <c r="G25" s="29"/>
      <c r="H25" s="29"/>
      <c r="I25" s="47"/>
      <c r="J25" s="29"/>
      <c r="K25" s="41"/>
      <c r="L25" s="41"/>
      <c r="M25" s="41"/>
      <c r="N25" s="41"/>
      <c r="O25" s="41"/>
    </row>
    <row r="26" spans="1:15" ht="21" customHeight="1">
      <c r="A26" s="44" t="s">
        <v>24</v>
      </c>
      <c r="B26" s="29">
        <f>LOOKUP($A$1,$B$60:$O$60,B63:O63)</f>
        <v>36649</v>
      </c>
      <c r="C26" s="29">
        <f>LOOKUP($A$1,$B$60:$O$60,B68:O68)</f>
        <v>2.6099999999999998E-2</v>
      </c>
      <c r="D26" s="47">
        <f>MAX(IF($A$2&gt;$B26,($B26-$B25)*$C26,($A$2-$B25)*$C26),0)</f>
        <v>0</v>
      </c>
      <c r="E26" s="45"/>
      <c r="F26" s="48"/>
      <c r="G26" s="29"/>
      <c r="H26" s="29"/>
      <c r="I26" s="47"/>
      <c r="J26" s="29"/>
      <c r="K26" s="45"/>
      <c r="L26" s="45"/>
      <c r="M26" s="54"/>
      <c r="N26" s="45"/>
      <c r="O26" s="56"/>
    </row>
    <row r="27" spans="1:15" ht="21" customHeight="1">
      <c r="A27" s="44" t="s">
        <v>25</v>
      </c>
      <c r="B27" s="29">
        <f>LOOKUP($A$1,$B$60:$O$60,B64:O64)</f>
        <v>109345.24573378838</v>
      </c>
      <c r="C27" s="29">
        <f>-1*(LOOKUP($A$1,$B$60:$O$60,B69:O69))</f>
        <v>-5.8600000000000006E-2</v>
      </c>
      <c r="D27" s="47">
        <f>IF(A2&lt;B26,0,IF($A$2&gt;$B27,($B27-$B26)*$C27,($A$2-$B26)*$C27))</f>
        <v>0</v>
      </c>
      <c r="E27" s="45"/>
      <c r="F27" s="48"/>
      <c r="G27" s="29"/>
      <c r="H27" s="29"/>
      <c r="I27" s="47"/>
      <c r="J27" s="29"/>
      <c r="K27" s="45"/>
      <c r="L27" s="45"/>
      <c r="M27" s="54"/>
      <c r="N27" s="45"/>
      <c r="O27" s="56"/>
    </row>
    <row r="28" spans="1:15" ht="21" customHeight="1">
      <c r="A28" s="44" t="s">
        <v>32</v>
      </c>
      <c r="B28" s="45">
        <f>LOOKUP($A$1,$B$60:$O$60,B71:O71)</f>
        <v>4260</v>
      </c>
      <c r="C28" s="45">
        <f>LOOKUP($A$1,$B$60:$O$60,B72:O72)</f>
        <v>0</v>
      </c>
      <c r="D28" s="50">
        <f>MAX(SUM(D24:D27),C28)</f>
        <v>0</v>
      </c>
      <c r="E28" s="45"/>
      <c r="F28" s="48"/>
      <c r="G28" s="45"/>
      <c r="H28" s="45"/>
      <c r="I28" s="51"/>
      <c r="J28" s="29"/>
      <c r="K28" s="45"/>
      <c r="L28" s="45"/>
      <c r="M28" s="54"/>
      <c r="N28" s="45"/>
      <c r="O28" s="56"/>
    </row>
    <row r="29" spans="1:15" ht="21" customHeight="1">
      <c r="A29" s="44"/>
      <c r="B29" s="45"/>
      <c r="C29" s="45"/>
      <c r="D29" s="47"/>
      <c r="E29" s="45"/>
      <c r="F29" s="55"/>
      <c r="G29" s="47"/>
      <c r="H29" s="47"/>
      <c r="I29" s="29"/>
      <c r="J29" s="45"/>
      <c r="K29" s="45"/>
      <c r="L29" s="45"/>
      <c r="M29" s="54"/>
      <c r="N29" s="45"/>
      <c r="O29" s="56"/>
    </row>
    <row r="30" spans="1:15" ht="21" customHeight="1">
      <c r="A30" s="44" t="s">
        <v>50</v>
      </c>
      <c r="B30" s="80">
        <f>'1'!D41</f>
        <v>0</v>
      </c>
      <c r="C30" s="45"/>
      <c r="D30" s="47"/>
      <c r="E30" s="45"/>
      <c r="F30" s="56"/>
      <c r="G30" s="47"/>
      <c r="H30" s="47"/>
      <c r="I30" s="29"/>
      <c r="J30" s="45"/>
      <c r="K30" s="45"/>
      <c r="L30" s="45"/>
      <c r="M30" s="54"/>
      <c r="N30" s="45"/>
      <c r="O30" s="56"/>
    </row>
    <row r="31" spans="1:15" ht="21" customHeight="1">
      <c r="A31" s="44"/>
      <c r="B31" s="45">
        <f>LOOKUP(A1,B60:O60,B75:O75)</f>
        <v>9.5000000000000001E-2</v>
      </c>
      <c r="C31" s="45">
        <f>IF(MAX(A2-B10,0)&gt;B30,B30,MAX((A2-B10),0))</f>
        <v>0</v>
      </c>
      <c r="D31" s="50">
        <f>ROUNDDOWN(B31*C31,0)</f>
        <v>0</v>
      </c>
      <c r="E31" s="45"/>
      <c r="F31" s="56"/>
      <c r="G31" s="47"/>
      <c r="H31" s="47"/>
      <c r="I31" s="29"/>
      <c r="J31" s="45"/>
      <c r="K31" s="45"/>
      <c r="L31" s="45"/>
      <c r="M31" s="54"/>
      <c r="N31" s="45"/>
      <c r="O31" s="56"/>
    </row>
    <row r="32" spans="1:15" ht="21" customHeight="1">
      <c r="A32" s="44"/>
      <c r="B32" s="45"/>
      <c r="C32" s="45"/>
      <c r="D32" s="54"/>
      <c r="E32" s="45"/>
      <c r="F32" s="56"/>
      <c r="G32" s="47"/>
      <c r="H32" s="47"/>
      <c r="I32" s="29"/>
      <c r="J32" s="45"/>
      <c r="K32" s="45"/>
      <c r="L32" s="45"/>
      <c r="M32" s="54"/>
      <c r="N32" s="45"/>
      <c r="O32" s="56"/>
    </row>
    <row r="33" spans="1:15" ht="21" customHeight="1">
      <c r="A33" s="44"/>
      <c r="B33" s="45"/>
      <c r="C33" s="45"/>
      <c r="D33" s="54"/>
      <c r="E33" s="45"/>
      <c r="F33" s="56"/>
      <c r="G33" s="47"/>
      <c r="H33" s="47"/>
      <c r="I33" s="29"/>
      <c r="J33" s="45"/>
      <c r="K33" s="45"/>
      <c r="L33" s="45"/>
      <c r="M33" s="54"/>
      <c r="N33" s="45"/>
      <c r="O33" s="56"/>
    </row>
    <row r="34" spans="1:15" ht="21" customHeight="1">
      <c r="A34" s="57" t="s">
        <v>33</v>
      </c>
      <c r="B34" s="45"/>
      <c r="C34" s="45"/>
      <c r="D34" s="45"/>
      <c r="E34" s="45"/>
      <c r="F34" s="45"/>
      <c r="G34" s="58"/>
      <c r="H34" s="58"/>
      <c r="I34" s="29"/>
      <c r="J34" s="45"/>
      <c r="K34" s="45"/>
      <c r="L34" s="45"/>
      <c r="M34" s="45"/>
      <c r="N34" s="45"/>
      <c r="O34" s="45"/>
    </row>
    <row r="35" spans="1:15" ht="21" customHeight="1">
      <c r="A35" s="38"/>
      <c r="B35" s="29"/>
      <c r="C35" s="29"/>
      <c r="D35" s="29"/>
      <c r="E35" s="29"/>
      <c r="F35" s="32"/>
      <c r="G35" s="32"/>
      <c r="H35" s="29"/>
      <c r="I35" s="29"/>
      <c r="J35" s="29"/>
      <c r="K35" s="29"/>
      <c r="L35" s="29"/>
      <c r="M35" s="29"/>
      <c r="N35" s="29"/>
      <c r="O35" s="29"/>
    </row>
    <row r="36" spans="1:15" ht="11.25">
      <c r="A36" s="40" t="s">
        <v>1</v>
      </c>
      <c r="B36" s="41"/>
      <c r="C36" s="41"/>
      <c r="D36" s="41"/>
      <c r="E36" s="42"/>
      <c r="F36" s="42"/>
      <c r="G36" s="32"/>
      <c r="H36" s="41"/>
      <c r="I36" s="41"/>
      <c r="J36" s="41"/>
      <c r="K36" s="41"/>
      <c r="L36" s="41"/>
      <c r="M36" s="41"/>
      <c r="N36" s="42"/>
      <c r="O36" s="42"/>
    </row>
    <row r="37" spans="1:15" ht="15">
      <c r="A37" s="59"/>
      <c r="B37" s="60">
        <v>2012</v>
      </c>
      <c r="C37" s="60">
        <v>2013</v>
      </c>
      <c r="D37" s="60">
        <v>2014</v>
      </c>
      <c r="E37" s="60">
        <v>2015</v>
      </c>
      <c r="F37" s="60">
        <v>2016</v>
      </c>
      <c r="G37" s="60">
        <v>2017</v>
      </c>
      <c r="H37" s="60">
        <v>2018</v>
      </c>
      <c r="I37" s="60">
        <v>2019</v>
      </c>
      <c r="J37" s="83">
        <v>2020</v>
      </c>
      <c r="K37" s="83">
        <v>2021</v>
      </c>
      <c r="L37" s="83">
        <v>2022</v>
      </c>
      <c r="M37" s="144">
        <v>2023</v>
      </c>
      <c r="N37" s="60">
        <v>2024</v>
      </c>
      <c r="O37" s="60">
        <v>2025</v>
      </c>
    </row>
    <row r="38" spans="1:15" ht="15">
      <c r="A38" s="44" t="s">
        <v>34</v>
      </c>
      <c r="B38" s="61">
        <v>18945</v>
      </c>
      <c r="C38" s="61">
        <v>19645</v>
      </c>
      <c r="D38" s="61">
        <v>19645</v>
      </c>
      <c r="E38" s="61">
        <v>19822</v>
      </c>
      <c r="F38" s="61">
        <v>19922</v>
      </c>
      <c r="G38" s="62">
        <v>19982</v>
      </c>
      <c r="H38" s="62">
        <v>20142</v>
      </c>
      <c r="I38" s="61">
        <v>20384</v>
      </c>
      <c r="J38" s="84">
        <v>20711</v>
      </c>
      <c r="K38" s="84">
        <v>20939</v>
      </c>
      <c r="L38" s="84">
        <v>21317</v>
      </c>
      <c r="M38" s="143">
        <v>21317</v>
      </c>
      <c r="N38" s="61"/>
      <c r="O38" s="61"/>
    </row>
    <row r="39" spans="1:15" ht="15">
      <c r="A39" s="44"/>
      <c r="B39" s="61">
        <f>IF($A$4&lt;1946-1-1,34055,33863)</f>
        <v>33863</v>
      </c>
      <c r="C39" s="61">
        <f>IF($A$4&lt;1946-1-1,33555,33363)</f>
        <v>33363</v>
      </c>
      <c r="D39" s="61">
        <f>IF($A$4&lt;1946-1-1,33555,33363)</f>
        <v>33363</v>
      </c>
      <c r="E39" s="61">
        <f>IF($A$4&lt;1946-1-1,33857,33589)</f>
        <v>33589</v>
      </c>
      <c r="F39" s="61">
        <f>IF($A$4&lt;1946-1-1,34027,33715)</f>
        <v>33715</v>
      </c>
      <c r="G39" s="61">
        <f>IF($A$4&lt;1946-1-1,34130,33791)</f>
        <v>33791</v>
      </c>
      <c r="H39" s="61">
        <f>IF($A$4&lt;1946-1-1,34404,33994)</f>
        <v>33994</v>
      </c>
      <c r="I39" s="61">
        <f>IF($A$4&lt;1946-1-1,34817,34300)</f>
        <v>34300</v>
      </c>
      <c r="J39" s="84">
        <f>IF($A$4&lt;1946-1-1,35375,34712)</f>
        <v>34712</v>
      </c>
      <c r="K39" s="84">
        <f>IF($A$4&lt;1946-1-1,35941,35129)</f>
        <v>35129</v>
      </c>
      <c r="L39" s="84">
        <f>IF($A$4&lt;1946-1-1,36409,35427)</f>
        <v>35427</v>
      </c>
      <c r="M39" s="143">
        <f>IF($A$4&lt;1946-1-1,36409,35427)</f>
        <v>35427</v>
      </c>
      <c r="N39" s="61"/>
      <c r="O39" s="61"/>
    </row>
    <row r="40" spans="1:15" ht="15">
      <c r="A40" s="44"/>
      <c r="B40" s="61">
        <v>56491</v>
      </c>
      <c r="C40" s="61">
        <v>55991</v>
      </c>
      <c r="D40" s="61">
        <v>56531</v>
      </c>
      <c r="E40" s="61">
        <v>57585</v>
      </c>
      <c r="F40" s="61">
        <v>66421</v>
      </c>
      <c r="G40" s="62">
        <v>67072</v>
      </c>
      <c r="H40" s="62">
        <v>67073</v>
      </c>
      <c r="I40" s="61">
        <v>68507</v>
      </c>
      <c r="J40" s="84">
        <v>68507</v>
      </c>
      <c r="K40" s="84">
        <v>68507</v>
      </c>
      <c r="L40" s="84">
        <v>69398</v>
      </c>
      <c r="M40" s="143">
        <v>69399</v>
      </c>
      <c r="N40" s="61"/>
      <c r="O40" s="61"/>
    </row>
    <row r="41" spans="1:15" ht="15">
      <c r="A41" s="38"/>
      <c r="B41" s="29"/>
      <c r="C41" s="29"/>
      <c r="D41" s="29"/>
      <c r="E41" s="29"/>
      <c r="F41" s="32"/>
      <c r="G41" s="32"/>
      <c r="H41" s="29"/>
      <c r="I41" s="29"/>
      <c r="J41" s="85"/>
      <c r="K41" s="85"/>
      <c r="L41" s="85"/>
      <c r="M41" s="144"/>
      <c r="N41" s="29"/>
      <c r="O41" s="29"/>
    </row>
    <row r="42" spans="1:15" ht="15">
      <c r="A42" s="44" t="s">
        <v>35</v>
      </c>
      <c r="B42" s="63">
        <v>17168</v>
      </c>
      <c r="C42" s="64">
        <v>17533</v>
      </c>
      <c r="D42" s="63">
        <v>17868</v>
      </c>
      <c r="E42" s="63">
        <v>18203</v>
      </c>
      <c r="F42" s="63">
        <v>18537</v>
      </c>
      <c r="G42" s="63">
        <v>18810</v>
      </c>
      <c r="H42" s="63">
        <v>19085</v>
      </c>
      <c r="I42" s="63">
        <v>19360</v>
      </c>
      <c r="J42" s="86">
        <v>19603</v>
      </c>
      <c r="K42" s="86">
        <v>19968</v>
      </c>
      <c r="L42" s="86">
        <v>20333</v>
      </c>
      <c r="M42" s="145">
        <v>20607</v>
      </c>
      <c r="N42" s="63">
        <v>21276</v>
      </c>
      <c r="O42" s="63">
        <v>21641</v>
      </c>
    </row>
    <row r="43" spans="1:15" ht="15">
      <c r="A43" s="44" t="s">
        <v>36</v>
      </c>
      <c r="B43" s="45" t="b">
        <f t="shared" ref="B43:O43" si="0">$A$4&lt;B42</f>
        <v>0</v>
      </c>
      <c r="C43" s="45" t="b">
        <f t="shared" si="0"/>
        <v>0</v>
      </c>
      <c r="D43" s="45" t="b">
        <f t="shared" si="0"/>
        <v>0</v>
      </c>
      <c r="E43" s="45" t="b">
        <f t="shared" si="0"/>
        <v>0</v>
      </c>
      <c r="F43" s="45" t="b">
        <f t="shared" si="0"/>
        <v>0</v>
      </c>
      <c r="G43" s="45" t="b">
        <f t="shared" si="0"/>
        <v>0</v>
      </c>
      <c r="H43" s="45" t="b">
        <f t="shared" si="0"/>
        <v>0</v>
      </c>
      <c r="I43" s="45" t="b">
        <f t="shared" si="0"/>
        <v>0</v>
      </c>
      <c r="J43" s="85" t="b">
        <f t="shared" si="0"/>
        <v>0</v>
      </c>
      <c r="K43" s="85" t="b">
        <f t="shared" si="0"/>
        <v>0</v>
      </c>
      <c r="L43" s="85" t="b">
        <f t="shared" si="0"/>
        <v>0</v>
      </c>
      <c r="M43" s="144" t="b">
        <f t="shared" si="0"/>
        <v>0</v>
      </c>
      <c r="N43" s="45" t="b">
        <f t="shared" si="0"/>
        <v>0</v>
      </c>
      <c r="O43" s="45" t="b">
        <f t="shared" si="0"/>
        <v>0</v>
      </c>
    </row>
    <row r="44" spans="1:15" ht="15">
      <c r="A44" s="44" t="s">
        <v>37</v>
      </c>
      <c r="B44" s="54">
        <f>IF(B$43=TRUE,15.2%,33.1%)</f>
        <v>0.33100000000000002</v>
      </c>
      <c r="C44" s="54">
        <f>IF(C$43=TRUE,19.1%,37%)</f>
        <v>0.37</v>
      </c>
      <c r="D44" s="54">
        <f>IF(D$43=TRUE,18.35%,36.25%)</f>
        <v>0.36249999999999999</v>
      </c>
      <c r="E44" s="54">
        <f>IF(E$43=TRUE,18.6%,36.5%)</f>
        <v>0.36499999999999999</v>
      </c>
      <c r="F44" s="54">
        <f>IF(F$43=TRUE,18.65%,36.55%)</f>
        <v>0.36549999999999999</v>
      </c>
      <c r="G44" s="54">
        <f>IF(G$43=TRUE,18.65%,36.55%)</f>
        <v>0.36549999999999999</v>
      </c>
      <c r="H44" s="54">
        <f>IF(H$43=TRUE,18.65%,36.55%)</f>
        <v>0.36549999999999999</v>
      </c>
      <c r="I44" s="54">
        <f>IF(I43=TRUE,18.75%,36.65%)</f>
        <v>0.36649999999999999</v>
      </c>
      <c r="J44" s="87">
        <f>IF(J43=TRUE,19.45%,37.35%)</f>
        <v>0.3735</v>
      </c>
      <c r="K44" s="87">
        <f>IF(K43=TRUE,19.2%,37.1%)</f>
        <v>0.371</v>
      </c>
      <c r="L44" s="87">
        <f>IF(L43=TRUE,19.17%,37.07%)</f>
        <v>0.37070000000000003</v>
      </c>
      <c r="M44" s="146">
        <f>IF(M43=TRUE,19.17%,37.07%)</f>
        <v>0.37070000000000003</v>
      </c>
      <c r="N44" s="54"/>
      <c r="O44" s="54"/>
    </row>
    <row r="45" spans="1:15" ht="15">
      <c r="A45" s="44" t="s">
        <v>38</v>
      </c>
      <c r="B45" s="54">
        <f>IF(B$43=TRUE,24.05%,41.95%)</f>
        <v>0.41950000000000004</v>
      </c>
      <c r="C45" s="54">
        <f>IF(C$43=TRUE,24.1%,42%)</f>
        <v>0.42</v>
      </c>
      <c r="D45" s="54">
        <f>IF(D$43=TRUE,24.1%,42%)</f>
        <v>0.42</v>
      </c>
      <c r="E45" s="54">
        <f>IF(E$43=TRUE,24.1%,42%)</f>
        <v>0.42</v>
      </c>
      <c r="F45" s="54">
        <f>IF(F$43=TRUE,22.5%,40.4%)</f>
        <v>0.40399999999999997</v>
      </c>
      <c r="G45" s="54">
        <f>IF(G$43=TRUE,22.9%,40.8%)</f>
        <v>0.40799999999999997</v>
      </c>
      <c r="H45" s="54">
        <f>IF(H$43=TRUE,22.95%,40.85%)</f>
        <v>0.40850000000000003</v>
      </c>
      <c r="I45" s="54">
        <f>IF(I43=TRUE,20.2%,38.1%)</f>
        <v>0.38100000000000001</v>
      </c>
      <c r="J45" s="87">
        <f>IF(J43=TRUE,19.45%,37.35%)</f>
        <v>0.3735</v>
      </c>
      <c r="K45" s="87">
        <f>IF(K43=TRUE,19.2%,37.1%)</f>
        <v>0.371</v>
      </c>
      <c r="L45" s="87">
        <f>IF(L43=TRUE,19.17%,37.07%)</f>
        <v>0.37070000000000003</v>
      </c>
      <c r="M45" s="146">
        <f>IF(M43=TRUE,19.17%,37.07%)</f>
        <v>0.37070000000000003</v>
      </c>
      <c r="N45" s="54"/>
      <c r="O45" s="54"/>
    </row>
    <row r="46" spans="1:15" ht="15">
      <c r="A46" s="44" t="s">
        <v>39</v>
      </c>
      <c r="B46" s="54">
        <v>0.42</v>
      </c>
      <c r="C46" s="54">
        <v>0.42</v>
      </c>
      <c r="D46" s="54">
        <v>0.42</v>
      </c>
      <c r="E46" s="54">
        <v>0.42</v>
      </c>
      <c r="F46" s="54">
        <v>0.40400000000000003</v>
      </c>
      <c r="G46" s="65">
        <v>0.40799999999999997</v>
      </c>
      <c r="H46" s="65">
        <v>0.40849999999999997</v>
      </c>
      <c r="I46" s="65">
        <v>0.38100000000000001</v>
      </c>
      <c r="J46" s="87">
        <v>0.3735</v>
      </c>
      <c r="K46" s="87">
        <v>0.371</v>
      </c>
      <c r="L46" s="87">
        <v>0.37069999999999997</v>
      </c>
      <c r="M46" s="146">
        <v>0.37069999999999997</v>
      </c>
      <c r="N46" s="54"/>
      <c r="O46" s="54"/>
    </row>
    <row r="47" spans="1:15" ht="15">
      <c r="A47" s="44" t="s">
        <v>40</v>
      </c>
      <c r="B47" s="54">
        <v>0.52</v>
      </c>
      <c r="C47" s="54">
        <v>0.52</v>
      </c>
      <c r="D47" s="54">
        <v>0.52</v>
      </c>
      <c r="E47" s="54">
        <v>0.52</v>
      </c>
      <c r="F47" s="54">
        <v>0.52</v>
      </c>
      <c r="G47" s="65">
        <v>0.52</v>
      </c>
      <c r="H47" s="65">
        <v>0.51949999999999996</v>
      </c>
      <c r="I47" s="65">
        <v>0.51749999999999996</v>
      </c>
      <c r="J47" s="87">
        <v>0.495</v>
      </c>
      <c r="K47" s="87">
        <v>0.495</v>
      </c>
      <c r="L47" s="87">
        <v>0.495</v>
      </c>
      <c r="M47" s="146">
        <v>0.495</v>
      </c>
      <c r="N47" s="66"/>
      <c r="O47" s="66"/>
    </row>
    <row r="48" spans="1:15" ht="15">
      <c r="A48" s="38"/>
      <c r="B48" s="29"/>
      <c r="C48" s="29"/>
      <c r="D48" s="29"/>
      <c r="E48" s="29"/>
      <c r="F48" s="32"/>
      <c r="G48" s="32"/>
      <c r="H48" s="29"/>
      <c r="I48" s="29"/>
      <c r="J48" s="85"/>
      <c r="K48" s="85"/>
      <c r="L48" s="85"/>
      <c r="M48" s="144"/>
      <c r="N48" s="29"/>
      <c r="O48" s="29"/>
    </row>
    <row r="49" spans="1:15" ht="15">
      <c r="A49" s="38" t="s">
        <v>26</v>
      </c>
      <c r="B49" s="67">
        <v>0.25</v>
      </c>
      <c r="C49" s="67">
        <v>0.25</v>
      </c>
      <c r="D49" s="67">
        <v>0.22</v>
      </c>
      <c r="E49" s="67">
        <v>0.25</v>
      </c>
      <c r="F49" s="68">
        <v>0.25</v>
      </c>
      <c r="G49" s="68">
        <v>0.25</v>
      </c>
      <c r="H49" s="68">
        <v>0.25</v>
      </c>
      <c r="I49" s="68">
        <v>0.25</v>
      </c>
      <c r="J49" s="87">
        <v>0.26250000000000001</v>
      </c>
      <c r="K49" s="87">
        <v>0.26900000000000002</v>
      </c>
      <c r="L49" s="87">
        <f>K49</f>
        <v>0.26900000000000002</v>
      </c>
      <c r="M49" s="146">
        <f>L49</f>
        <v>0.26900000000000002</v>
      </c>
      <c r="N49" s="29"/>
      <c r="O49" s="29"/>
    </row>
    <row r="50" spans="1:15" ht="15">
      <c r="A50" s="38"/>
      <c r="B50" s="29"/>
      <c r="C50" s="29"/>
      <c r="D50" s="29"/>
      <c r="E50" s="29"/>
      <c r="F50" s="32"/>
      <c r="G50" s="32"/>
      <c r="H50" s="29"/>
      <c r="I50" s="29"/>
      <c r="J50" s="85"/>
      <c r="K50" s="85"/>
      <c r="L50" s="85"/>
      <c r="M50" s="144"/>
      <c r="N50" s="29"/>
      <c r="O50" s="29"/>
    </row>
    <row r="51" spans="1:15" ht="15">
      <c r="A51" s="39" t="s">
        <v>0</v>
      </c>
      <c r="B51" s="60">
        <v>2012</v>
      </c>
      <c r="C51" s="60">
        <v>2013</v>
      </c>
      <c r="D51" s="60">
        <v>2014</v>
      </c>
      <c r="E51" s="60">
        <v>2015</v>
      </c>
      <c r="F51" s="60">
        <v>2016</v>
      </c>
      <c r="G51" s="60">
        <v>2017</v>
      </c>
      <c r="H51" s="60">
        <v>2018</v>
      </c>
      <c r="I51" s="60">
        <v>2019</v>
      </c>
      <c r="J51" s="83">
        <v>2020</v>
      </c>
      <c r="K51" s="83">
        <v>2021</v>
      </c>
      <c r="L51" s="83">
        <v>2022</v>
      </c>
      <c r="M51" s="144">
        <v>2023</v>
      </c>
      <c r="N51" s="60">
        <v>2024</v>
      </c>
      <c r="O51" s="60">
        <v>2025</v>
      </c>
    </row>
    <row r="52" spans="1:15" ht="15">
      <c r="A52" s="38" t="s">
        <v>41</v>
      </c>
      <c r="B52" s="29">
        <v>200000</v>
      </c>
      <c r="C52" s="29">
        <v>200000</v>
      </c>
      <c r="D52" s="29">
        <v>200000</v>
      </c>
      <c r="E52" s="29">
        <v>200000</v>
      </c>
      <c r="F52" s="29">
        <v>200000</v>
      </c>
      <c r="G52" s="29">
        <v>200000</v>
      </c>
      <c r="H52" s="29">
        <v>200000</v>
      </c>
      <c r="I52" s="29">
        <v>200000</v>
      </c>
      <c r="J52" s="85">
        <v>200000</v>
      </c>
      <c r="K52" s="85">
        <v>245000</v>
      </c>
      <c r="L52" s="85">
        <v>395000</v>
      </c>
      <c r="M52" s="144">
        <v>395000</v>
      </c>
      <c r="N52" s="29"/>
      <c r="O52" s="29"/>
    </row>
    <row r="53" spans="1:15" ht="15">
      <c r="A53" s="38" t="s">
        <v>42</v>
      </c>
      <c r="B53" s="67">
        <v>0.2</v>
      </c>
      <c r="C53" s="67">
        <v>0.2</v>
      </c>
      <c r="D53" s="67">
        <v>0.2</v>
      </c>
      <c r="E53" s="67">
        <v>0.2</v>
      </c>
      <c r="F53" s="67">
        <v>0.2</v>
      </c>
      <c r="G53" s="67">
        <v>0.2</v>
      </c>
      <c r="H53" s="67">
        <v>0.2</v>
      </c>
      <c r="I53" s="79">
        <v>0.19</v>
      </c>
      <c r="J53" s="88">
        <v>0.16500000000000001</v>
      </c>
      <c r="K53" s="88">
        <v>0.15</v>
      </c>
      <c r="L53" s="134">
        <v>0.15</v>
      </c>
      <c r="M53" s="152">
        <v>0.15</v>
      </c>
      <c r="N53" s="67"/>
      <c r="O53" s="67"/>
    </row>
    <row r="54" spans="1:15" ht="15">
      <c r="A54" s="38" t="s">
        <v>43</v>
      </c>
      <c r="B54" s="67">
        <v>0.25</v>
      </c>
      <c r="C54" s="67">
        <v>0.25</v>
      </c>
      <c r="D54" s="67">
        <v>0.25</v>
      </c>
      <c r="E54" s="67">
        <v>0.25</v>
      </c>
      <c r="F54" s="67">
        <v>0.25</v>
      </c>
      <c r="G54" s="67">
        <v>0.25</v>
      </c>
      <c r="H54" s="67">
        <v>0.25</v>
      </c>
      <c r="I54" s="79">
        <v>0.25</v>
      </c>
      <c r="J54" s="88">
        <v>0.25</v>
      </c>
      <c r="K54" s="88">
        <v>0.25</v>
      </c>
      <c r="L54" s="88">
        <v>0.25800000000000001</v>
      </c>
      <c r="M54" s="147">
        <v>0.25800000000000001</v>
      </c>
      <c r="N54" s="67"/>
      <c r="O54" s="67"/>
    </row>
    <row r="55" spans="1:15" ht="15">
      <c r="A55" s="38"/>
      <c r="B55" s="29"/>
      <c r="C55" s="29"/>
      <c r="D55" s="29"/>
      <c r="E55" s="29"/>
      <c r="F55" s="32"/>
      <c r="G55" s="32"/>
      <c r="H55" s="29"/>
      <c r="I55" s="29"/>
      <c r="J55" s="85"/>
      <c r="K55" s="85"/>
      <c r="L55" s="85"/>
      <c r="M55" s="144"/>
      <c r="N55" s="29"/>
      <c r="O55" s="29"/>
    </row>
    <row r="56" spans="1:15" ht="15">
      <c r="A56" s="40" t="s">
        <v>44</v>
      </c>
      <c r="B56" s="69">
        <f>IF(B$43=TRUE,934,2001)</f>
        <v>2001</v>
      </c>
      <c r="C56" s="69">
        <f>IF(C$43=TRUE,1034,2033)</f>
        <v>2033</v>
      </c>
      <c r="D56" s="69">
        <f>IF(D$43=TRUE,1065,2103)</f>
        <v>2103</v>
      </c>
      <c r="E56" s="69">
        <f>IF(E$43=TRUE,1123,2203)</f>
        <v>2203</v>
      </c>
      <c r="F56" s="69">
        <f>IF(F$43=TRUE,1145,2242)</f>
        <v>2242</v>
      </c>
      <c r="G56" s="69">
        <f>IF(G$43=TRUE,1151,2254)</f>
        <v>2254</v>
      </c>
      <c r="H56" s="69">
        <f>IF(H$43=TRUE,1157,2265)</f>
        <v>2265</v>
      </c>
      <c r="I56" s="69">
        <f>IF(I43=TRUE,1268,2477)</f>
        <v>2477</v>
      </c>
      <c r="J56" s="89">
        <f>IF(J43=TRUE,1413,2711)</f>
        <v>2711</v>
      </c>
      <c r="K56" s="89">
        <f>IF(K43=TRUE,1453,2837)</f>
        <v>2837</v>
      </c>
      <c r="L56" s="89">
        <f>IF(L43=TRUE,1494,2888)</f>
        <v>2888</v>
      </c>
      <c r="M56" s="148">
        <f>IF(M43=TRUE,1494,2888)</f>
        <v>2888</v>
      </c>
      <c r="N56" s="70"/>
      <c r="O56" s="70"/>
    </row>
    <row r="57" spans="1:15" ht="15">
      <c r="A57" s="44" t="s">
        <v>45</v>
      </c>
      <c r="B57" s="71">
        <v>0</v>
      </c>
      <c r="C57" s="71">
        <v>0</v>
      </c>
      <c r="D57" s="72">
        <f>IF(D$43=TRUE,2%,2%)</f>
        <v>0.02</v>
      </c>
      <c r="E57" s="72">
        <f>IF(E$43=TRUE,1.183%,2.32%)</f>
        <v>2.3199999999999998E-2</v>
      </c>
      <c r="F57" s="72">
        <f>IF(F$43=TRUE,2.46%,4.822%)</f>
        <v>4.8219999999999999E-2</v>
      </c>
      <c r="G57" s="72">
        <f>IF(G$43=TRUE,2.443%,4.787%)</f>
        <v>4.7869999999999996E-2</v>
      </c>
      <c r="H57" s="72">
        <f>IF(H$43=TRUE,2.389%,4.683%)</f>
        <v>4.6829999999999997E-2</v>
      </c>
      <c r="I57" s="72">
        <f>IF(I43=TRUE,2.633%,5.147%)</f>
        <v>5.1470000000000002E-2</v>
      </c>
      <c r="J57" s="90">
        <f>IF(J43=TRUE,2.954%,5.672%)</f>
        <v>5.672E-2</v>
      </c>
      <c r="K57" s="90">
        <f>IF(K43=TRUE,3.054%,5.888%)</f>
        <v>5.8880000000000002E-2</v>
      </c>
      <c r="L57" s="90">
        <f>IF(L43=TRUE,3.106%,6.007%)</f>
        <v>6.0069999999999998E-2</v>
      </c>
      <c r="M57" s="149">
        <f>IF(M43=TRUE,3.106%,6.007%)</f>
        <v>6.0069999999999998E-2</v>
      </c>
      <c r="N57" s="54"/>
      <c r="O57" s="54"/>
    </row>
    <row r="58" spans="1:15" ht="15">
      <c r="A58" s="44" t="s">
        <v>46</v>
      </c>
      <c r="B58" s="73">
        <f>B56</f>
        <v>2001</v>
      </c>
      <c r="C58" s="73">
        <f>C56</f>
        <v>2033</v>
      </c>
      <c r="D58" s="74">
        <f>IF(D$43=TRUE,693,1366)</f>
        <v>1366</v>
      </c>
      <c r="E58" s="74">
        <f>IF(E$43=TRUE,685,1342)</f>
        <v>1342</v>
      </c>
      <c r="F58" s="74">
        <v>0</v>
      </c>
      <c r="G58" s="74">
        <v>0</v>
      </c>
      <c r="H58" s="74">
        <v>0</v>
      </c>
      <c r="I58" s="74">
        <v>0</v>
      </c>
      <c r="J58" s="91">
        <v>0</v>
      </c>
      <c r="K58" s="91">
        <v>0</v>
      </c>
      <c r="L58" s="92">
        <v>0</v>
      </c>
      <c r="M58" s="150">
        <v>0</v>
      </c>
      <c r="N58" s="73"/>
      <c r="O58" s="73"/>
    </row>
    <row r="59" spans="1:15" ht="15">
      <c r="A59" s="44"/>
      <c r="B59" s="54"/>
      <c r="C59" s="45"/>
      <c r="D59" s="56"/>
      <c r="E59" s="47"/>
      <c r="F59" s="47"/>
      <c r="G59" s="32"/>
      <c r="H59" s="45"/>
      <c r="I59" s="45"/>
      <c r="J59" s="85"/>
      <c r="K59" s="87"/>
      <c r="L59" s="85"/>
      <c r="M59" s="144"/>
      <c r="N59" s="47"/>
      <c r="O59" s="47"/>
    </row>
    <row r="60" spans="1:15" ht="15">
      <c r="A60" s="40" t="s">
        <v>47</v>
      </c>
      <c r="B60" s="60">
        <v>2012</v>
      </c>
      <c r="C60" s="60">
        <v>2013</v>
      </c>
      <c r="D60" s="60">
        <v>2014</v>
      </c>
      <c r="E60" s="60">
        <v>2015</v>
      </c>
      <c r="F60" s="60">
        <v>2016</v>
      </c>
      <c r="G60" s="60">
        <v>2017</v>
      </c>
      <c r="H60" s="60">
        <v>2018</v>
      </c>
      <c r="I60" s="60">
        <v>2019</v>
      </c>
      <c r="J60" s="83">
        <v>2020</v>
      </c>
      <c r="K60" s="83">
        <v>2021</v>
      </c>
      <c r="L60" s="83">
        <v>2022</v>
      </c>
      <c r="M60" s="144">
        <v>2023</v>
      </c>
      <c r="N60" s="60">
        <v>2024</v>
      </c>
      <c r="O60" s="60">
        <v>2025</v>
      </c>
    </row>
    <row r="61" spans="1:15" ht="15">
      <c r="A61" s="44" t="s">
        <v>22</v>
      </c>
      <c r="B61" s="73">
        <v>9295</v>
      </c>
      <c r="C61" s="73">
        <v>8816</v>
      </c>
      <c r="D61" s="73">
        <v>8913</v>
      </c>
      <c r="E61" s="75">
        <v>9010</v>
      </c>
      <c r="F61" s="75">
        <v>9147</v>
      </c>
      <c r="G61" s="76">
        <v>9309</v>
      </c>
      <c r="H61" s="73">
        <v>9468</v>
      </c>
      <c r="I61" s="73">
        <v>9694</v>
      </c>
      <c r="J61" s="77">
        <v>9921</v>
      </c>
      <c r="K61" s="77">
        <v>10108</v>
      </c>
      <c r="L61" s="92">
        <v>10350</v>
      </c>
      <c r="M61" s="150">
        <v>10350</v>
      </c>
      <c r="N61" s="75"/>
      <c r="O61" s="75"/>
    </row>
    <row r="62" spans="1:15" ht="15">
      <c r="A62" s="44" t="s">
        <v>23</v>
      </c>
      <c r="B62" s="77">
        <v>21059</v>
      </c>
      <c r="C62" s="77">
        <v>18502</v>
      </c>
      <c r="D62" s="77">
        <v>19248</v>
      </c>
      <c r="E62" s="77">
        <v>19463</v>
      </c>
      <c r="F62" s="76">
        <v>19758</v>
      </c>
      <c r="G62" s="76">
        <v>20108</v>
      </c>
      <c r="H62" s="77">
        <v>20450</v>
      </c>
      <c r="I62" s="77">
        <v>20940</v>
      </c>
      <c r="J62" s="92">
        <v>21430</v>
      </c>
      <c r="K62" s="77">
        <v>21835</v>
      </c>
      <c r="L62" s="92">
        <v>22356</v>
      </c>
      <c r="M62" s="150">
        <v>22356</v>
      </c>
      <c r="N62" s="77"/>
      <c r="O62" s="77"/>
    </row>
    <row r="63" spans="1:15" ht="15">
      <c r="A63" s="44" t="s">
        <v>24</v>
      </c>
      <c r="B63" s="69">
        <v>45181</v>
      </c>
      <c r="C63" s="69">
        <v>40248</v>
      </c>
      <c r="D63" s="69">
        <v>40721</v>
      </c>
      <c r="E63" s="70">
        <v>49770</v>
      </c>
      <c r="F63" s="70">
        <v>34015</v>
      </c>
      <c r="G63" s="76">
        <v>32444</v>
      </c>
      <c r="H63" s="69">
        <v>33112</v>
      </c>
      <c r="I63" s="69">
        <v>34060</v>
      </c>
      <c r="J63" s="89">
        <v>34954</v>
      </c>
      <c r="K63" s="117">
        <v>35652</v>
      </c>
      <c r="L63" s="89">
        <v>36649</v>
      </c>
      <c r="M63" s="148">
        <v>36649</v>
      </c>
      <c r="N63" s="70"/>
      <c r="O63" s="70"/>
    </row>
    <row r="64" spans="1:15" ht="15">
      <c r="A64" s="44" t="s">
        <v>25</v>
      </c>
      <c r="B64" s="73">
        <v>514.17999999999995</v>
      </c>
      <c r="C64" s="73">
        <v>69573</v>
      </c>
      <c r="D64" s="73">
        <v>83971</v>
      </c>
      <c r="E64" s="73">
        <v>100670</v>
      </c>
      <c r="F64" s="73">
        <v>111590</v>
      </c>
      <c r="G64" s="76">
        <v>121972</v>
      </c>
      <c r="H64" s="73">
        <v>123362</v>
      </c>
      <c r="I64" s="73">
        <v>90710</v>
      </c>
      <c r="J64" s="77">
        <f>(J71/J69)+J63</f>
        <v>98604</v>
      </c>
      <c r="K64" s="77">
        <f>(K71/K69)+K63</f>
        <v>105735.33333333334</v>
      </c>
      <c r="L64" s="92">
        <f>(L71/L69)+L63</f>
        <v>109345.24573378838</v>
      </c>
      <c r="M64" s="150">
        <f>(M71/M69)+M63</f>
        <v>109345.24573378838</v>
      </c>
      <c r="N64" s="73"/>
      <c r="O64" s="73"/>
    </row>
    <row r="65" spans="1:15" ht="15">
      <c r="A65" s="44"/>
      <c r="B65" s="45"/>
      <c r="C65" s="45"/>
      <c r="D65" s="54"/>
      <c r="E65" s="45"/>
      <c r="F65" s="56"/>
      <c r="G65" s="47"/>
      <c r="H65" s="47"/>
      <c r="I65" s="29"/>
      <c r="J65" s="85"/>
      <c r="K65" s="85"/>
      <c r="L65" s="85"/>
      <c r="M65" s="144"/>
      <c r="N65" s="45"/>
      <c r="O65" s="56"/>
    </row>
    <row r="66" spans="1:15" ht="15">
      <c r="A66" s="44" t="s">
        <v>37</v>
      </c>
      <c r="B66" s="45">
        <f>IF(B$43=TRUE,0.796%,1.733%)</f>
        <v>1.7330000000000002E-2</v>
      </c>
      <c r="C66" s="45">
        <f>IF(C$43=TRUE,0.943%,1.827%)</f>
        <v>1.8269999999999998E-2</v>
      </c>
      <c r="D66" s="45">
        <f>IF(D$43=TRUE,0.915%,1.807%)</f>
        <v>1.8069999999999999E-2</v>
      </c>
      <c r="E66" s="45">
        <f>IF(E$43=TRUE,0.922%,1.81%)</f>
        <v>1.8100000000000002E-2</v>
      </c>
      <c r="F66" s="45">
        <f>IF(F$43=TRUE,0.915%,1.793%)</f>
        <v>1.7929999999999998E-2</v>
      </c>
      <c r="G66" s="45">
        <f>IF(G$43=TRUE,0.904%,1.772%)</f>
        <v>1.772E-2</v>
      </c>
      <c r="H66" s="45">
        <f>IF(H$43=TRUE,0.901%,1.764%)</f>
        <v>1.7639999999999999E-2</v>
      </c>
      <c r="I66" s="45">
        <f>IF(I43=TRUE,0.898%,1.754%)</f>
        <v>1.754E-2</v>
      </c>
      <c r="J66" s="29">
        <f>IF(J43=TRUE,1.464%,2.812%)</f>
        <v>2.8119999999999999E-2</v>
      </c>
      <c r="K66" s="29">
        <f>IF(K43=TRUE,2.371%,4.581%)</f>
        <v>4.5810000000000003E-2</v>
      </c>
      <c r="L66" s="85">
        <f>IF(L43=TRUE,2.348%,4.541%)</f>
        <v>4.5410000000000006E-2</v>
      </c>
      <c r="M66" s="144">
        <f>IF(M43=TRUE,2.348%,4.541%)</f>
        <v>4.5410000000000006E-2</v>
      </c>
      <c r="N66" s="45"/>
      <c r="O66" s="56"/>
    </row>
    <row r="67" spans="1:15" ht="15">
      <c r="A67" s="44" t="s">
        <v>38</v>
      </c>
      <c r="B67" s="45">
        <f>IF(B$43=TRUE,5.657%,12.32%)</f>
        <v>0.1232</v>
      </c>
      <c r="C67" s="45">
        <f>IF(C$43=TRUE,8.319%,16.115%)</f>
        <v>0.16114999999999999</v>
      </c>
      <c r="D67" s="45">
        <f>IF(D$43=TRUE,9.479%,18.724%)</f>
        <v>0.18723999999999999</v>
      </c>
      <c r="E67" s="45">
        <f>IF(E$43=TRUE,10.028%,19.679%)</f>
        <v>0.19678999999999999</v>
      </c>
      <c r="F67" s="45">
        <f>IF(F$43=TRUE,14.133%,27.698%)</f>
        <v>0.27698</v>
      </c>
      <c r="G67" s="45">
        <f>IF(G$43=TRUE,14.449%,28.317%)</f>
        <v>0.28316999999999998</v>
      </c>
      <c r="H67" s="45">
        <f>IF(H$43=TRUE,14.32%,28.064%)</f>
        <v>0.28064</v>
      </c>
      <c r="I67" s="45">
        <f>IF(I43=TRUE,14.689%,28.712%)</f>
        <v>0.28711999999999999</v>
      </c>
      <c r="J67" s="29">
        <f>IF(J43=TRUE,15.004%,28.812%)</f>
        <v>0.28811999999999999</v>
      </c>
      <c r="K67" s="29">
        <f>IF(K43=TRUE,14.89%,28.771%)</f>
        <v>0.28771000000000002</v>
      </c>
      <c r="L67" s="85">
        <f>IF(L43=TRUE,14.718%,28.461%)</f>
        <v>0.28460999999999997</v>
      </c>
      <c r="M67" s="144">
        <f>IF(M43=TRUE,14.718%,28.461%)</f>
        <v>0.28460999999999997</v>
      </c>
      <c r="N67" s="45"/>
      <c r="O67" s="56"/>
    </row>
    <row r="68" spans="1:15" ht="15">
      <c r="A68" s="44" t="s">
        <v>39</v>
      </c>
      <c r="B68" s="45">
        <v>0</v>
      </c>
      <c r="C68" s="45">
        <v>0</v>
      </c>
      <c r="D68" s="45">
        <v>0</v>
      </c>
      <c r="E68" s="45">
        <v>0</v>
      </c>
      <c r="F68" s="45">
        <v>0</v>
      </c>
      <c r="G68" s="45">
        <v>0</v>
      </c>
      <c r="H68" s="45">
        <v>0</v>
      </c>
      <c r="I68" s="45">
        <v>0</v>
      </c>
      <c r="J68" s="29">
        <f>IF(J43=TRUE,0.862%,1.656%)</f>
        <v>1.6559999999999998E-2</v>
      </c>
      <c r="K68" s="29">
        <f>IF(K43=TRUE,1.378%,2.663%)</f>
        <v>2.6629999999999997E-2</v>
      </c>
      <c r="L68" s="85">
        <f>IF(L43=TRUE,1.349%,2.61%)</f>
        <v>2.6099999999999998E-2</v>
      </c>
      <c r="M68" s="144">
        <f>IF(M43=TRUE,1.349%,2.61%)</f>
        <v>2.6099999999999998E-2</v>
      </c>
      <c r="N68" s="45"/>
      <c r="O68" s="45"/>
    </row>
    <row r="69" spans="1:15" ht="15">
      <c r="A69" s="44" t="s">
        <v>40</v>
      </c>
      <c r="B69" s="45">
        <f>IF(B$43=TRUE,0.574%,1.25%)</f>
        <v>1.2500000000000001E-2</v>
      </c>
      <c r="C69" s="45">
        <f>IF(C$43=TRUE,2.064%,4%)</f>
        <v>0.04</v>
      </c>
      <c r="D69" s="45">
        <f>IF(D$43=TRUE,2.025%,4%)</f>
        <v>0.04</v>
      </c>
      <c r="E69" s="45">
        <f>IF(E$43=TRUE,2.038%,4%)</f>
        <v>0.04</v>
      </c>
      <c r="F69" s="45">
        <f>IF(F$43=TRUE,2.041%,4%)</f>
        <v>0.04</v>
      </c>
      <c r="G69" s="45">
        <f>IF(G$43=TRUE,1.837%,3.6%)</f>
        <v>3.6000000000000004E-2</v>
      </c>
      <c r="H69" s="45">
        <f>IF(H$43=TRUE,1.837%,3.6%)</f>
        <v>3.6000000000000004E-2</v>
      </c>
      <c r="I69" s="45">
        <f>IF(I43=TRUE,3.069%,6%)</f>
        <v>0.06</v>
      </c>
      <c r="J69" s="29">
        <f>IF(J43=TRUE,3.124%,6%)</f>
        <v>0.06</v>
      </c>
      <c r="K69" s="29">
        <f>IF(K43=TRUE,3.105%,6%)</f>
        <v>0.06</v>
      </c>
      <c r="L69" s="85">
        <f>IF(L43=TRUE,3.03%,5.86%)</f>
        <v>5.8600000000000006E-2</v>
      </c>
      <c r="M69" s="144">
        <f>IF(M43=TRUE,3.03%,5.86%)</f>
        <v>5.8600000000000006E-2</v>
      </c>
      <c r="N69" s="29"/>
      <c r="O69" s="29"/>
    </row>
    <row r="70" spans="1:15" ht="15">
      <c r="A70" s="40"/>
      <c r="B70" s="41"/>
      <c r="C70" s="41"/>
      <c r="D70" s="41"/>
      <c r="E70" s="41"/>
      <c r="F70" s="41"/>
      <c r="G70" s="42"/>
      <c r="H70" s="42"/>
      <c r="I70" s="29"/>
      <c r="J70" s="93"/>
      <c r="K70" s="93"/>
      <c r="L70" s="93"/>
      <c r="M70" s="151"/>
      <c r="N70" s="41"/>
      <c r="O70" s="41"/>
    </row>
    <row r="71" spans="1:15" ht="15">
      <c r="A71" s="44" t="s">
        <v>48</v>
      </c>
      <c r="B71" s="45">
        <f>IF(B$43=TRUE,740,1611)</f>
        <v>1611</v>
      </c>
      <c r="C71" s="45">
        <f>IF(C$43=TRUE,890,1723)</f>
        <v>1723</v>
      </c>
      <c r="D71" s="45">
        <f>IF(D$43=TRUE,1062,2097)</f>
        <v>2097</v>
      </c>
      <c r="E71" s="45">
        <f>IF(E$43=TRUE,1132,2220)</f>
        <v>2220</v>
      </c>
      <c r="F71" s="45">
        <f>IF(F$43=TRUE,1585,3103)</f>
        <v>3103</v>
      </c>
      <c r="G71" s="45">
        <f>IF(G$43=TRUE,1645,3223)</f>
        <v>3223</v>
      </c>
      <c r="H71" s="45">
        <f>IF(H$43=TRUE,1659,3249)</f>
        <v>3249</v>
      </c>
      <c r="I71" s="45">
        <f>IF(I43=TRUE,1745,3399)</f>
        <v>3399</v>
      </c>
      <c r="J71" s="85">
        <f>IF(J43=TRUE,1989,3819)</f>
        <v>3819</v>
      </c>
      <c r="K71" s="85">
        <f>IF(K43=TRUE,2178,4205)</f>
        <v>4205</v>
      </c>
      <c r="L71" s="85">
        <f>IF(L43=TRUE,2204,4260)</f>
        <v>4260</v>
      </c>
      <c r="M71" s="144">
        <f>IF(M43=TRUE,2204,4260)</f>
        <v>4260</v>
      </c>
      <c r="N71" s="45"/>
      <c r="O71" s="56"/>
    </row>
    <row r="72" spans="1:15" ht="15">
      <c r="A72" s="44" t="s">
        <v>49</v>
      </c>
      <c r="B72" s="45">
        <f>IF(B$43=TRUE,704,740)</f>
        <v>740</v>
      </c>
      <c r="C72" s="45">
        <f>IF(C$43=TRUE,284,550)</f>
        <v>550</v>
      </c>
      <c r="D72" s="45">
        <f>IF(D$43=TRUE,186,367)</f>
        <v>367</v>
      </c>
      <c r="E72" s="45">
        <f>IF(E$43=TRUE,94,184)</f>
        <v>184</v>
      </c>
      <c r="F72" s="45">
        <v>0</v>
      </c>
      <c r="G72" s="45">
        <v>0</v>
      </c>
      <c r="H72" s="45">
        <v>0</v>
      </c>
      <c r="I72" s="29">
        <v>0</v>
      </c>
      <c r="J72" s="85">
        <v>0</v>
      </c>
      <c r="K72" s="85">
        <v>0</v>
      </c>
      <c r="L72" s="85">
        <v>0</v>
      </c>
      <c r="M72" s="144">
        <v>0</v>
      </c>
      <c r="N72" s="45"/>
      <c r="O72" s="56"/>
    </row>
    <row r="73" spans="1:15" ht="11.25">
      <c r="J73" s="85"/>
      <c r="K73" s="85"/>
      <c r="L73" s="85"/>
    </row>
    <row r="74" spans="1:15" ht="11.25">
      <c r="J74" s="46"/>
      <c r="K74" s="46"/>
      <c r="L74" s="135">
        <v>9.5000000000000001E-2</v>
      </c>
    </row>
    <row r="75" spans="1:15" ht="11.25">
      <c r="A75" s="44" t="s">
        <v>50</v>
      </c>
      <c r="B75" s="45"/>
      <c r="C75" s="45"/>
      <c r="D75" s="47"/>
      <c r="E75" s="45"/>
      <c r="F75" s="56"/>
      <c r="G75" s="47"/>
      <c r="H75" s="47"/>
      <c r="I75" s="29"/>
      <c r="J75" s="46">
        <v>3.5000000000000003E-2</v>
      </c>
      <c r="K75" s="46">
        <v>6.5000000000000002E-2</v>
      </c>
      <c r="L75" s="135">
        <v>9.5000000000000001E-2</v>
      </c>
      <c r="M75" s="54">
        <f>M47-M44</f>
        <v>0.12429999999999997</v>
      </c>
      <c r="N75" s="45"/>
      <c r="O75" s="56"/>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Home</vt:lpstr>
      <vt:lpstr>1</vt:lpstr>
      <vt:lpstr>calc</vt:lpstr>
      <vt:lpstr>calc 2</vt:lpstr>
      <vt:lpstr>'1'!Afdrukbereik</vt:lpstr>
      <vt:lpstr>Home!Afdrukbereik</vt:lpstr>
      <vt:lpstr>'1'!Afdruktitels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2012-12-11T09:00:36Z</cp:lastPrinted>
  <dcterms:created xsi:type="dcterms:W3CDTF">2006-09-16T00:00:00Z</dcterms:created>
  <dcterms:modified xsi:type="dcterms:W3CDTF">2022-03-08T13:31:14Z</dcterms:modified>
</cp:coreProperties>
</file>